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0-NEW FSA Exams/March 2026/CP 351/"/>
    </mc:Choice>
  </mc:AlternateContent>
  <xr:revisionPtr revIDLastSave="5" documentId="8_{1D835C5C-C7CB-4878-ADD6-3276132BCCED}" xr6:coauthVersionLast="47" xr6:coauthVersionMax="47" xr10:uidLastSave="{B8D70FD5-5A22-4161-BCDD-361215E3B22C}"/>
  <bookViews>
    <workbookView xWindow="-96" yWindow="0" windowWidth="11712" windowHeight="12336" firstSheet="2" activeTab="4" xr2:uid="{00000000-000D-0000-FFFF-FFFF00000000}"/>
  </bookViews>
  <sheets>
    <sheet name="0326-Q2" sheetId="13" r:id="rId1"/>
    <sheet name="0326-Q3" sheetId="14" r:id="rId2"/>
    <sheet name="4a &amp; c" sheetId="15" r:id="rId3"/>
    <sheet name="4d" sheetId="16" r:id="rId4"/>
    <sheet name="Q7 model solution" sheetId="17" r:id="rId5"/>
  </sheets>
  <externalReferences>
    <externalReference r:id="rId6"/>
    <externalReference r:id="rId7"/>
    <externalReference r:id="rId8"/>
    <externalReference r:id="rId9"/>
  </externalReferences>
  <definedNames>
    <definedName name="Bond_Allocation">'[1]Question 2 Solution'!$B$18</definedName>
    <definedName name="Bond_Ret">'[1]Question 2 Solution'!$D$23</definedName>
    <definedName name="Dividends">'[1]Question 2 Solution'!$D$22</definedName>
    <definedName name="Eq_Ret">'[1]Question 2 Solution'!$D$21</definedName>
    <definedName name="Eq_Turn_over">'[1]Question 2 Solution'!$D$24</definedName>
    <definedName name="Equity_Allocation">'[1]Question 2 Solution'!$B$17</definedName>
    <definedName name="matrix1" localSheetId="1">'[3] part d(4 points)'!#REF!</definedName>
    <definedName name="matrix1" localSheetId="2">'[4] part d(4 points)'!#REF!</definedName>
    <definedName name="matrix1" localSheetId="3">'[4] part d(4 points)'!#REF!</definedName>
    <definedName name="matrix1">'[2] part d(4 points)'!#REF!</definedName>
    <definedName name="matrix2" localSheetId="1">'[3] part d(4 points)'!#REF!</definedName>
    <definedName name="matrix2" localSheetId="2">'[4] part d(4 points)'!#REF!</definedName>
    <definedName name="matrix2" localSheetId="3">'[4] part d(4 points)'!#REF!</definedName>
    <definedName name="matrix2">'[2] part d(4 points)'!#REF!</definedName>
    <definedName name="solver_adj" localSheetId="1" hidden="1">'0326-Q3'!$B$152</definedName>
    <definedName name="solver_cvg" localSheetId="1" hidden="1">0.0001</definedName>
    <definedName name="solver_drv" localSheetId="1" hidden="1">2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'0326-Q3'!$B$165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'0326-Q3'!$B$165</definedName>
    <definedName name="solver_pre" localSheetId="1" hidden="1">0.000001</definedName>
    <definedName name="solver_rbv" localSheetId="1" hidden="1">2</definedName>
    <definedName name="solver_rel1" localSheetId="1" hidden="1">1</definedName>
    <definedName name="solver_rhs1" localSheetId="1" hidden="1">175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175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7" l="1"/>
  <c r="D34" i="17"/>
  <c r="E34" i="17"/>
  <c r="F34" i="17" s="1"/>
  <c r="D35" i="17"/>
  <c r="E35" i="17" s="1"/>
  <c r="F35" i="17" s="1"/>
  <c r="B47" i="17"/>
  <c r="B49" i="17" s="1"/>
  <c r="B51" i="17" s="1"/>
  <c r="B53" i="17" s="1"/>
  <c r="C41" i="17" s="1"/>
  <c r="C75" i="17"/>
  <c r="F85" i="17"/>
  <c r="D86" i="17"/>
  <c r="E86" i="17"/>
  <c r="F86" i="17" s="1"/>
  <c r="D87" i="17"/>
  <c r="E87" i="17" s="1"/>
  <c r="F87" i="17" s="1"/>
  <c r="C22" i="17" l="1"/>
  <c r="F88" i="17"/>
  <c r="J22" i="16"/>
  <c r="K22" i="16"/>
  <c r="J23" i="16"/>
  <c r="K23" i="16"/>
  <c r="L23" i="16"/>
  <c r="C24" i="16"/>
  <c r="D24" i="16"/>
  <c r="D35" i="16" s="1"/>
  <c r="J24" i="16"/>
  <c r="C25" i="16"/>
  <c r="D25" i="16" s="1"/>
  <c r="C34" i="16"/>
  <c r="D34" i="16"/>
  <c r="C35" i="16"/>
  <c r="H32" i="15"/>
  <c r="D36" i="15"/>
  <c r="C19" i="15" s="1"/>
  <c r="D36" i="16" l="1"/>
  <c r="K25" i="16"/>
  <c r="C26" i="16"/>
  <c r="K24" i="16"/>
  <c r="L24" i="16" s="1"/>
  <c r="C36" i="16"/>
  <c r="J25" i="16"/>
  <c r="C84" i="15"/>
  <c r="C85" i="15" s="1"/>
  <c r="C43" i="15" s="1"/>
  <c r="C89" i="15"/>
  <c r="C90" i="15" s="1"/>
  <c r="J26" i="16" l="1"/>
  <c r="C27" i="16"/>
  <c r="D26" i="16"/>
  <c r="C37" i="16"/>
  <c r="L25" i="16"/>
  <c r="D11" i="14"/>
  <c r="D12" i="14"/>
  <c r="D13" i="14"/>
  <c r="D14" i="14"/>
  <c r="D15" i="14"/>
  <c r="D16" i="14"/>
  <c r="D17" i="14"/>
  <c r="D18" i="14"/>
  <c r="F71" i="14"/>
  <c r="F76" i="14" s="1"/>
  <c r="B54" i="14" s="1"/>
  <c r="G71" i="14"/>
  <c r="G75" i="14" s="1"/>
  <c r="F75" i="14" s="1"/>
  <c r="B53" i="14" s="1"/>
  <c r="F72" i="14"/>
  <c r="G72" i="14"/>
  <c r="F73" i="14"/>
  <c r="G73" i="14"/>
  <c r="F79" i="14"/>
  <c r="F80" i="14"/>
  <c r="F81" i="14"/>
  <c r="F82" i="14"/>
  <c r="B55" i="14" s="1"/>
  <c r="B100" i="14" s="1"/>
  <c r="B97" i="14"/>
  <c r="F97" i="14" s="1"/>
  <c r="C97" i="14"/>
  <c r="E97" i="14"/>
  <c r="G98" i="14"/>
  <c r="H98" i="14"/>
  <c r="I98" i="14" s="1"/>
  <c r="I102" i="14" s="1"/>
  <c r="I106" i="14" s="1"/>
  <c r="B111" i="14" s="1"/>
  <c r="C99" i="14"/>
  <c r="C100" i="14" s="1"/>
  <c r="C101" i="14" s="1"/>
  <c r="D101" i="14" s="1"/>
  <c r="E99" i="14"/>
  <c r="E100" i="14" s="1"/>
  <c r="E101" i="14" s="1"/>
  <c r="F101" i="14" s="1"/>
  <c r="B101" i="14"/>
  <c r="B104" i="14"/>
  <c r="F104" i="14" s="1"/>
  <c r="C104" i="14"/>
  <c r="D104" i="14" s="1"/>
  <c r="E104" i="14"/>
  <c r="F127" i="14"/>
  <c r="B127" i="14" s="1"/>
  <c r="D142" i="14" s="1"/>
  <c r="J142" i="14" s="1"/>
  <c r="B128" i="14"/>
  <c r="F142" i="14" s="1"/>
  <c r="K142" i="14" s="1"/>
  <c r="C137" i="14"/>
  <c r="E137" i="14"/>
  <c r="C138" i="14"/>
  <c r="E138" i="14"/>
  <c r="C139" i="14"/>
  <c r="E139" i="14"/>
  <c r="C140" i="14"/>
  <c r="D140" i="14" s="1"/>
  <c r="E140" i="14"/>
  <c r="K140" i="14" s="1"/>
  <c r="F140" i="14"/>
  <c r="B147" i="14"/>
  <c r="D147" i="14" s="1"/>
  <c r="J147" i="14" s="1"/>
  <c r="C147" i="14"/>
  <c r="E147" i="14"/>
  <c r="B148" i="14"/>
  <c r="I140" i="14" s="1"/>
  <c r="C148" i="14"/>
  <c r="D148" i="14"/>
  <c r="J148" i="14" s="1"/>
  <c r="E148" i="14"/>
  <c r="F148" i="14" s="1"/>
  <c r="B153" i="14"/>
  <c r="E163" i="14"/>
  <c r="C166" i="14"/>
  <c r="B178" i="14"/>
  <c r="C181" i="14"/>
  <c r="D37" i="16" l="1"/>
  <c r="K26" i="16"/>
  <c r="L26" i="16" s="1"/>
  <c r="C28" i="16"/>
  <c r="J27" i="16"/>
  <c r="D27" i="16"/>
  <c r="C38" i="16"/>
  <c r="L140" i="14"/>
  <c r="F100" i="14"/>
  <c r="C180" i="14"/>
  <c r="D100" i="14"/>
  <c r="C146" i="14"/>
  <c r="D146" i="14" s="1"/>
  <c r="J140" i="14"/>
  <c r="F147" i="14"/>
  <c r="D97" i="14"/>
  <c r="B137" i="14"/>
  <c r="B132" i="14"/>
  <c r="B138" i="14" s="1"/>
  <c r="E146" i="14"/>
  <c r="F146" i="14" s="1"/>
  <c r="B99" i="14"/>
  <c r="C51" i="13"/>
  <c r="C50" i="13"/>
  <c r="H57" i="13"/>
  <c r="G57" i="13"/>
  <c r="F57" i="13"/>
  <c r="E57" i="13"/>
  <c r="D57" i="13"/>
  <c r="C57" i="13"/>
  <c r="H56" i="13"/>
  <c r="G56" i="13"/>
  <c r="F56" i="13"/>
  <c r="E56" i="13"/>
  <c r="B56" i="13"/>
  <c r="D56" i="13"/>
  <c r="C56" i="13"/>
  <c r="E32" i="13"/>
  <c r="C24" i="13"/>
  <c r="E31" i="13"/>
  <c r="D31" i="13"/>
  <c r="C40" i="13"/>
  <c r="C39" i="13"/>
  <c r="D46" i="13"/>
  <c r="D45" i="13"/>
  <c r="C25" i="13"/>
  <c r="K27" i="16" l="1"/>
  <c r="L27" i="16" s="1"/>
  <c r="D38" i="16"/>
  <c r="D28" i="16"/>
  <c r="J28" i="16"/>
  <c r="C39" i="16"/>
  <c r="C29" i="16"/>
  <c r="J146" i="14"/>
  <c r="D149" i="14"/>
  <c r="C182" i="14"/>
  <c r="B102" i="14"/>
  <c r="D99" i="14"/>
  <c r="D102" i="14" s="1"/>
  <c r="D106" i="14" s="1"/>
  <c r="B110" i="14" s="1"/>
  <c r="B179" i="14"/>
  <c r="B184" i="14" s="1"/>
  <c r="B173" i="14" s="1"/>
  <c r="F99" i="14"/>
  <c r="F102" i="14" s="1"/>
  <c r="F106" i="14" s="1"/>
  <c r="L137" i="14"/>
  <c r="F149" i="14"/>
  <c r="B168" i="14"/>
  <c r="C168" i="14" s="1"/>
  <c r="D138" i="14"/>
  <c r="F138" i="14"/>
  <c r="I138" i="14"/>
  <c r="F137" i="14"/>
  <c r="F141" i="14" s="1"/>
  <c r="F143" i="14" s="1"/>
  <c r="G143" i="14" s="1"/>
  <c r="G144" i="14" s="1"/>
  <c r="I137" i="14"/>
  <c r="B167" i="14"/>
  <c r="C167" i="14" s="1"/>
  <c r="D137" i="14"/>
  <c r="D141" i="14" s="1"/>
  <c r="D143" i="14" s="1"/>
  <c r="B151" i="14" s="1"/>
  <c r="B139" i="14"/>
  <c r="D29" i="16" l="1"/>
  <c r="J29" i="16"/>
  <c r="C30" i="16"/>
  <c r="C40" i="16"/>
  <c r="K28" i="16"/>
  <c r="L28" i="16" s="1"/>
  <c r="D39" i="16"/>
  <c r="B112" i="14"/>
  <c r="B88" i="14" s="1"/>
  <c r="B170" i="14"/>
  <c r="D139" i="14"/>
  <c r="F139" i="14"/>
  <c r="I139" i="14"/>
  <c r="L146" i="14"/>
  <c r="F150" i="14"/>
  <c r="B163" i="14"/>
  <c r="B152" i="14"/>
  <c r="D163" i="14" s="1"/>
  <c r="D165" i="14" s="1"/>
  <c r="K137" i="14"/>
  <c r="K141" i="14" s="1"/>
  <c r="K143" i="14" s="1"/>
  <c r="J137" i="14"/>
  <c r="J141" i="14" s="1"/>
  <c r="J143" i="14" s="1"/>
  <c r="J138" i="14"/>
  <c r="K138" i="14"/>
  <c r="D40" i="16" l="1"/>
  <c r="K29" i="16"/>
  <c r="L29" i="16" s="1"/>
  <c r="C41" i="16"/>
  <c r="D30" i="16"/>
  <c r="J30" i="16"/>
  <c r="B165" i="14"/>
  <c r="K139" i="14"/>
  <c r="L139" i="14" s="1"/>
  <c r="J139" i="14"/>
  <c r="C163" i="14"/>
  <c r="C165" i="14" s="1"/>
  <c r="D41" i="16" l="1"/>
  <c r="K30" i="16"/>
  <c r="L30" i="16" s="1"/>
  <c r="O23" i="16" s="1"/>
  <c r="F23" i="16"/>
  <c r="I163" i="14"/>
  <c r="E34" i="16" l="1"/>
  <c r="F34" i="16" s="1"/>
  <c r="E35" i="16"/>
  <c r="F35" i="16" s="1"/>
  <c r="E36" i="16"/>
  <c r="F36" i="16" s="1"/>
  <c r="E37" i="16"/>
  <c r="F37" i="16" s="1"/>
  <c r="F46" i="16" s="1"/>
  <c r="C13" i="16" s="1"/>
  <c r="E38" i="16"/>
  <c r="F38" i="16" s="1"/>
  <c r="E39" i="16"/>
  <c r="F39" i="16" s="1"/>
  <c r="E40" i="16"/>
  <c r="F40" i="16" s="1"/>
  <c r="E41" i="16"/>
  <c r="F41" i="16" s="1"/>
</calcChain>
</file>

<file path=xl/sharedStrings.xml><?xml version="1.0" encoding="utf-8"?>
<sst xmlns="http://schemas.openxmlformats.org/spreadsheetml/2006/main" count="368" uniqueCount="267">
  <si>
    <t>Fill in your final answers here:</t>
  </si>
  <si>
    <t>Show your work here:</t>
  </si>
  <si>
    <t>Data:</t>
  </si>
  <si>
    <t xml:space="preserve"> (c )(1 point) Calculate the leverage ratio for each segment</t>
  </si>
  <si>
    <t>Segment L1</t>
  </si>
  <si>
    <t>Segment L2</t>
  </si>
  <si>
    <t>Present Value (PV) = $400 million</t>
  </si>
  <si>
    <t>Duration = 10 years</t>
  </si>
  <si>
    <t>Present Value (PV) = $300 million</t>
  </si>
  <si>
    <t>Duration = 35 years</t>
  </si>
  <si>
    <t>PV = $450 million</t>
  </si>
  <si>
    <t>Duration = 8 years</t>
  </si>
  <si>
    <t>PV = $200 million</t>
  </si>
  <si>
    <t>Duration = 40 years</t>
  </si>
  <si>
    <t>Asset A for supporting L1:</t>
  </si>
  <si>
    <t>Asset B for supporting L2:</t>
  </si>
  <si>
    <t>(d) (1 point) Assess whether each segment is under-hedged or over-hedged</t>
  </si>
  <si>
    <t>Leverage ratio</t>
  </si>
  <si>
    <t>Two liability segments:</t>
  </si>
  <si>
    <t>The company allocates two assets to support each segment of liability as follows:</t>
  </si>
  <si>
    <t>Segment 1</t>
  </si>
  <si>
    <t>Segment 2</t>
  </si>
  <si>
    <t>PV Liability</t>
  </si>
  <si>
    <t>PV Asset</t>
  </si>
  <si>
    <t>Dur Liability</t>
  </si>
  <si>
    <t>Dur Asset</t>
  </si>
  <si>
    <t>Mismatch</t>
  </si>
  <si>
    <t>Underhedged</t>
  </si>
  <si>
    <t>Overhedged</t>
  </si>
  <si>
    <t>Equity</t>
  </si>
  <si>
    <t>Option 1- Actual duration</t>
  </si>
  <si>
    <t>Option 2 - Dollar duration</t>
  </si>
  <si>
    <t xml:space="preserve">Liability </t>
  </si>
  <si>
    <t>Dollar Dur Liability</t>
  </si>
  <si>
    <t>Dur Assets</t>
  </si>
  <si>
    <t xml:space="preserve">Assets </t>
  </si>
  <si>
    <t>Dollar Dur Assets</t>
  </si>
  <si>
    <t>Leverage = Liablities/Total Capital</t>
  </si>
  <si>
    <t xml:space="preserve">  Required capital for Long-term Fixed Income</t>
  </si>
  <si>
    <t xml:space="preserve">  Required capital for Equity</t>
  </si>
  <si>
    <t xml:space="preserve">  Required capital for Immunization portfolio</t>
  </si>
  <si>
    <t>Total Capital</t>
  </si>
  <si>
    <t>Liabilities</t>
  </si>
  <si>
    <t>Leverage</t>
  </si>
  <si>
    <t>Check:</t>
  </si>
  <si>
    <t>Total LT FI</t>
  </si>
  <si>
    <t>Total Equity</t>
  </si>
  <si>
    <t>A</t>
  </si>
  <si>
    <t>B</t>
  </si>
  <si>
    <t>C</t>
  </si>
  <si>
    <t>Quadratic Formula</t>
  </si>
  <si>
    <t>Risk Function components</t>
  </si>
  <si>
    <t>Total Risk</t>
  </si>
  <si>
    <t>E^2</t>
  </si>
  <si>
    <t>E^1</t>
  </si>
  <si>
    <t>E^0</t>
  </si>
  <si>
    <t>Factors</t>
  </si>
  <si>
    <t>Note: This could be done via goal seek as well if using Excel</t>
  </si>
  <si>
    <t>Step 2: Solve risk function using quadratic formula</t>
  </si>
  <si>
    <t>E</t>
  </si>
  <si>
    <t>Risk from equity per equity</t>
  </si>
  <si>
    <t>Increase due to Equity per equity</t>
  </si>
  <si>
    <t>Total Interest Rate Risk</t>
  </si>
  <si>
    <t>More: Required Capital for Equity</t>
  </si>
  <si>
    <t>Less: RC for LT FI</t>
  </si>
  <si>
    <t>Less: Long term Fixed Income</t>
  </si>
  <si>
    <t>Offset for Equity per $ Equity</t>
  </si>
  <si>
    <t>Net</t>
  </si>
  <si>
    <t>Total Liabilities</t>
  </si>
  <si>
    <t>Total Assets</t>
  </si>
  <si>
    <t>Required capital for Equity</t>
  </si>
  <si>
    <t>Required capital for LT Fixed Income</t>
  </si>
  <si>
    <t>Required capital for Immunization portfolio</t>
  </si>
  <si>
    <t>Long term Fixed Income (without reduction for equity)</t>
  </si>
  <si>
    <t>Dollar Convexity</t>
  </si>
  <si>
    <t>Dollar Duration</t>
  </si>
  <si>
    <t>With Equity</t>
  </si>
  <si>
    <t>Convexity</t>
  </si>
  <si>
    <t>Duration</t>
  </si>
  <si>
    <t>Amount</t>
  </si>
  <si>
    <t>Final Answer</t>
  </si>
  <si>
    <t>Initial set up</t>
  </si>
  <si>
    <t>(iii) Fixed Income Assets &amp; Sensitivities</t>
  </si>
  <si>
    <t>Calculated in (b)</t>
  </si>
  <si>
    <t>Required Capital</t>
  </si>
  <si>
    <t>(ii): Immunization Portfolio Capital</t>
  </si>
  <si>
    <t>From question</t>
  </si>
  <si>
    <t>Dollar Convexity (16+)</t>
  </si>
  <si>
    <t>Value</t>
  </si>
  <si>
    <t>Dollar Duration (16+)</t>
  </si>
  <si>
    <t>(i) Dollar Sensitivity of Liabilities</t>
  </si>
  <si>
    <t>B) Risk of Carveout = [(i) Dollar Sensitivity of Liabilities - (ii) Dollar Sensitivity of Assets in Carveout - (iii) Dollar Sensitivity of Assets backing Required Capital]*Std Rates</t>
  </si>
  <si>
    <t>By definition</t>
  </si>
  <si>
    <t xml:space="preserve">A) Risk of Immunization Portfolio = 0 </t>
  </si>
  <si>
    <t>Interest Rate Risk = A) Risk of Immunization Portfolio + B) Risk of Carveout = 0 + Risk of Carveout</t>
  </si>
  <si>
    <t>Risk = [(Interest Rate Risk)^2+(Equity Risk)^2]^(1/2)</t>
  </si>
  <si>
    <t>Step 1: Set up risk function and connect to make-up of portfolio</t>
  </si>
  <si>
    <t>(d) (0.5 points) Determine the total leverage that the non-immunizing portion of the portfolio will utilize</t>
  </si>
  <si>
    <t>Equity risk</t>
  </si>
  <si>
    <t>Interst rate risk</t>
  </si>
  <si>
    <t>Net Assets - Liabilities</t>
  </si>
  <si>
    <t>Required Capital for Equity</t>
  </si>
  <si>
    <t>Required Capital for Immunization Portfolio</t>
  </si>
  <si>
    <t>Required Capital for Long-term Fixed Income</t>
  </si>
  <si>
    <t>Long-term Fixed Income</t>
  </si>
  <si>
    <t>Assets</t>
  </si>
  <si>
    <t>Risk</t>
  </si>
  <si>
    <t>Risk per Equity</t>
  </si>
  <si>
    <t>Equity Risk</t>
  </si>
  <si>
    <t>Interest Rate Risk</t>
  </si>
  <si>
    <t>(c ) (3.5 points) Determine the total risk of the portfolio. Consider all assets and liabilities</t>
  </si>
  <si>
    <t>Total</t>
  </si>
  <si>
    <t>Target capital Ratio</t>
  </si>
  <si>
    <t>Factor</t>
  </si>
  <si>
    <t>Formula</t>
  </si>
  <si>
    <t>Up</t>
  </si>
  <si>
    <t>Current</t>
  </si>
  <si>
    <t>Down</t>
  </si>
  <si>
    <t>Convexity (1-15)</t>
  </si>
  <si>
    <t>Rate</t>
  </si>
  <si>
    <t>Duration (1-15)</t>
  </si>
  <si>
    <t>Discount Rate</t>
  </si>
  <si>
    <t>iii. (1 point) Required Capital</t>
  </si>
  <si>
    <t>ii. (0.5 points) Convexity</t>
  </si>
  <si>
    <t>i. (0.5 points) Duration</t>
  </si>
  <si>
    <t>(a)	 (2 points) Calculate the following for the assets in the immunizing portion of the portfolio</t>
  </si>
  <si>
    <t>Target Capital Ratio</t>
  </si>
  <si>
    <t>Public fixed income assets</t>
  </si>
  <si>
    <t>Capital Charge</t>
  </si>
  <si>
    <t>Asset</t>
  </si>
  <si>
    <t>Required Capital for assets held by XYZ</t>
  </si>
  <si>
    <t>Public equity market</t>
  </si>
  <si>
    <t>Interest rate</t>
  </si>
  <si>
    <t>Standard Deviation</t>
  </si>
  <si>
    <t>Risk Factor</t>
  </si>
  <si>
    <t>Risk Data</t>
  </si>
  <si>
    <t>Assets Backing Required Capital</t>
  </si>
  <si>
    <t>Years 16+</t>
  </si>
  <si>
    <t>?</t>
  </si>
  <si>
    <t>Years 1-15</t>
  </si>
  <si>
    <t>Liability Cash Flow</t>
  </si>
  <si>
    <t>Liability Duration &amp; Convexity</t>
  </si>
  <si>
    <t>Annuity Present Values</t>
  </si>
  <si>
    <t>Total Equity for Carve-out Strategy</t>
  </si>
  <si>
    <t>Liability Discount Rate</t>
  </si>
  <si>
    <t>Risk Free Rate</t>
  </si>
  <si>
    <t>Thus, C =</t>
  </si>
  <si>
    <t xml:space="preserve">D = </t>
  </si>
  <si>
    <t xml:space="preserve">x = </t>
  </si>
  <si>
    <t>(Also Accepted)</t>
  </si>
  <si>
    <t>Thus, C = -D/[x + 2]</t>
  </si>
  <si>
    <t>Recall that b = 4a</t>
  </si>
  <si>
    <t>Plug in the values for D, x, and b</t>
  </si>
  <si>
    <t>C = -D/[x + b/(2a)]</t>
  </si>
  <si>
    <t>Solve for C</t>
  </si>
  <si>
    <t>D/C = -[x + b/(2a)]</t>
  </si>
  <si>
    <t>D/C = -[2ax/(2a) + b/(2a)]</t>
  </si>
  <si>
    <t>Simplify</t>
  </si>
  <si>
    <t>D/C = -(2ax + b)/(2a)</t>
  </si>
  <si>
    <t>Divide the two equations</t>
  </si>
  <si>
    <t>C = 1/V(x) * (2a)</t>
  </si>
  <si>
    <t>D = -1/V(x) * (2ax + b)</t>
  </si>
  <si>
    <t>Let Duration be denoted D, and Convexity be denoted C</t>
  </si>
  <si>
    <t>Divide the equation for Convexity by the equation for Duration, and solve for Convexity</t>
  </si>
  <si>
    <t>Thus, Convexity = 1/V(x) * (2a)</t>
  </si>
  <si>
    <t>Hatfield, Page 28, Equation 4.5.1</t>
  </si>
  <si>
    <t>Convexity is the second derivative of the value of a bond (or portolio) with respect to a change in interest rates, times 1/B, where B is the value of the bond (or portfolio)</t>
  </si>
  <si>
    <t>Write a formula for the convexity of Company A's asset portfolio</t>
  </si>
  <si>
    <t>Thus, Duration = -1/V(x) * (2ax + b)</t>
  </si>
  <si>
    <t>Hatfield, Page 16</t>
  </si>
  <si>
    <t>Duration is the first derivative of the value of a portolio with respect to a change in interest rates, times -1/P, where P is the value of the portfolio</t>
  </si>
  <si>
    <t>Write a formula for the duration of Company A's asset portfolio</t>
  </si>
  <si>
    <t>V''(x) = 2a</t>
  </si>
  <si>
    <t>V'(x) = 2ax + b</t>
  </si>
  <si>
    <t>Determine the first and second derivatives of V(x)</t>
  </si>
  <si>
    <t xml:space="preserve">(c) (1.5 points) Calculate the convexity of the liability. </t>
  </si>
  <si>
    <t>Thus, effective duration is</t>
  </si>
  <si>
    <t>LAM-117-14, Page 4, Equation 4</t>
  </si>
  <si>
    <t>Effective duration is the sum of the key rate durations</t>
  </si>
  <si>
    <t>Calculate effective duration</t>
  </si>
  <si>
    <t>Thus, D(5) = 0.0062P / 0.002P = 3.1</t>
  </si>
  <si>
    <t>Thus, 0.9938P - P = -0.002P D(5)</t>
  </si>
  <si>
    <t>In this case, P* = 0.9938P, and d(5) = 0.002</t>
  </si>
  <si>
    <t>d(i) is the magnitude of the shock to the key rate</t>
  </si>
  <si>
    <t>D(i) is the ith key rate duration</t>
  </si>
  <si>
    <t>P* is the value of the portfolio after the key rate shift</t>
  </si>
  <si>
    <t>P is the value of the portfolio before the key rate shift</t>
  </si>
  <si>
    <t>LAM-117-14, Page 4, Equation 3a</t>
  </si>
  <si>
    <t>P* - P = -P D(i) d(i)</t>
  </si>
  <si>
    <t>Calculate the 5th key rate duration</t>
  </si>
  <si>
    <t>Effective duration</t>
  </si>
  <si>
    <t>(a) (0.5 points) Calculate the effective duration of the liability.</t>
  </si>
  <si>
    <t>The model output indicates that the 5th key rate shift would result in a 0.62% decrease to the value.</t>
  </si>
  <si>
    <t>Key Rate Duration</t>
  </si>
  <si>
    <t>Key Rate Shift</t>
  </si>
  <si>
    <r>
      <t>V(x) = ax</t>
    </r>
    <r>
      <rPr>
        <vertAlign val="superscript"/>
        <sz val="11"/>
        <color theme="1"/>
        <rFont val="SwissReSans"/>
      </rPr>
      <t>2</t>
    </r>
    <r>
      <rPr>
        <sz val="11"/>
        <color theme="1"/>
        <rFont val="SwissReSans"/>
        <family val="2"/>
      </rPr>
      <t xml:space="preserve"> +4ax + b</t>
    </r>
  </si>
  <si>
    <t>Data</t>
  </si>
  <si>
    <t xml:space="preserve">Yield-Based Duration = </t>
  </si>
  <si>
    <t>where v = 1 / (1 + Yield)</t>
  </si>
  <si>
    <t>Yield-Based Duration = v * [ sum of PV(CF)*t ] / (Price)</t>
  </si>
  <si>
    <t>Yield-Based Duration is the same as modified duratiion</t>
  </si>
  <si>
    <t>PV(CF)*t</t>
  </si>
  <si>
    <t>PV(CF)</t>
  </si>
  <si>
    <t>CF</t>
  </si>
  <si>
    <t>t</t>
  </si>
  <si>
    <t>Calculate the PV of each cashflow, and multiply it by the timing of the cashflow</t>
  </si>
  <si>
    <t>PV of CFs</t>
  </si>
  <si>
    <t>Yield</t>
  </si>
  <si>
    <t>PV</t>
  </si>
  <si>
    <t>Plug-in the value for yield that results in the PV of future cash flows equal to the current price</t>
  </si>
  <si>
    <t>Alternatively, the yield could have been calculated using goal-seek / guess &amp; check</t>
  </si>
  <si>
    <t>Solve for the yield using the IRR function:</t>
  </si>
  <si>
    <t>Yield is the IRR that equates the value of the bond to the PV of its cashflows</t>
  </si>
  <si>
    <t>First, calculate the yield of Bond X</t>
  </si>
  <si>
    <t>Yield-Based Duration</t>
  </si>
  <si>
    <t>(d) (2 points) Calculate (use the “Goal Seek” function as needed) the yield-based duration of Bond X.</t>
  </si>
  <si>
    <t>The current price of Bond X is 20.</t>
  </si>
  <si>
    <t>Before investing in Bond X, the Chief Actuary would like to better understand this unique bond.</t>
  </si>
  <si>
    <t>Cashflow Amount</t>
  </si>
  <si>
    <t>Years Until Cashflow</t>
  </si>
  <si>
    <t>Bond X pays the following cash flows:</t>
  </si>
  <si>
    <t>Use goal seek to change C87 to value that sets cost to 0</t>
    <phoneticPr fontId="5" type="noConversion"/>
  </si>
  <si>
    <t>total price</t>
  </si>
  <si>
    <t>Call</t>
  </si>
  <si>
    <t>Put</t>
  </si>
  <si>
    <t>Stock</t>
  </si>
  <si>
    <t>Price</t>
  </si>
  <si>
    <t>d2</t>
  </si>
  <si>
    <t>d1</t>
  </si>
  <si>
    <t>K</t>
  </si>
  <si>
    <t>T</t>
  </si>
  <si>
    <t>d2 = d1 - sigma * sqrt T</t>
    <phoneticPr fontId="5" type="noConversion"/>
  </si>
  <si>
    <t>d1 = [ln(S/K) + (r + sigma^2/2)*(T)]/[sigma * sqrt(T)]</t>
    <phoneticPr fontId="5" type="noConversion"/>
  </si>
  <si>
    <t>Price of call = - Ke^-rt * N(d2) + S * N(d1)</t>
    <phoneticPr fontId="5" type="noConversion"/>
  </si>
  <si>
    <t>Price of put = Ke^-rt * N(-d2) - S * N(-d1)</t>
    <phoneticPr fontId="5" type="noConversion"/>
  </si>
  <si>
    <t>Purchase stock, purchase a put T = 1 K = 90, sell a call T=1 K=?</t>
  </si>
  <si>
    <t>New strike price</t>
  </si>
  <si>
    <t>in the strategy in Part (b)(i) so that the hedging cost is 0.</t>
  </si>
  <si>
    <t xml:space="preserve">(d) (1 point) Calculate (use the “Goal Seek” function as needed) the new strike price of the call option </t>
  </si>
  <si>
    <t>Therefore, the loss is capped at 10</t>
    <phoneticPr fontId="5" type="noConversion"/>
  </si>
  <si>
    <t>When the stock price is 70.38,  can exercise the put option and sell the ETF for 90</t>
    <phoneticPr fontId="5" type="noConversion"/>
  </si>
  <si>
    <t xml:space="preserve"> </t>
    <phoneticPr fontId="5" type="noConversion"/>
  </si>
  <si>
    <t>1-year 95% VaR (with strategy in Part (b)(i))</t>
  </si>
  <si>
    <t>(ii) (1 point) The protected portfolio with the strategy identified in Part (b)(i).</t>
  </si>
  <si>
    <t>Loss = price of stock - future price of stock</t>
  </si>
  <si>
    <t>Multiply by current price to get future price</t>
  </si>
  <si>
    <t>Exponentiate for 5th percentile of returns</t>
  </si>
  <si>
    <t>5th percentile of normal dist</t>
  </si>
  <si>
    <t>VaR 95% = 5% worst scenario = 5% worst point in the stock's return</t>
  </si>
  <si>
    <t>1-year 95% VaR (unprotected portfolio)</t>
  </si>
  <si>
    <t>(i) (1 point) The unprotected portfolio, assuming that the assets are fully invested in the ETF.</t>
  </si>
  <si>
    <t>(c) (2 points) Calculate the 1-year 95% Value-at-Risk (VaR) for</t>
  </si>
  <si>
    <t>Purchase stock, purchase a put T = 1 K = 90, sell a call T=1 K=130</t>
  </si>
  <si>
    <t>(Put price - call price)</t>
    <phoneticPr fontId="5" type="noConversion"/>
  </si>
  <si>
    <t>Cost of the strategy</t>
  </si>
  <si>
    <t>(ii) (1.5 points) Calculate the cost of establishing this strategy using the Black Scholes model.</t>
  </si>
  <si>
    <t xml:space="preserve">(b) </t>
  </si>
  <si>
    <t>The portfolio manager is aiming to construct a position using call and put options on this ETF that results in the following target payoff (including the ETF) in one year:</t>
  </si>
  <si>
    <t>r</t>
  </si>
  <si>
    <t>σ</t>
  </si>
  <si>
    <t>μ</t>
  </si>
  <si>
    <t>S(0)</t>
  </si>
  <si>
    <t>Input</t>
  </si>
  <si>
    <t>The risk-free rate r is 3%.</t>
  </si>
  <si>
    <t xml:space="preserve">The return of the market index is assumed to follow a lognormal distribution with μ=6% and σ=25%. </t>
  </si>
  <si>
    <t xml:space="preserve">The current price of the ETF is S(0) = 100. </t>
  </si>
  <si>
    <t xml:space="preserve">A portfolio managers has invested a large portion of the portfolio in an ETF that tracks a market index.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</si>
</sst>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#,##0.000"/>
    <numFmt numFmtId="168" formatCode="0.0"/>
    <numFmt numFmtId="169" formatCode="0.0000%"/>
    <numFmt numFmtId="170" formatCode="0.000"/>
    <numFmt numFmtId="171" formatCode="0.0000"/>
  </numFmts>
  <fonts count="29">
    <font>
      <sz val="11"/>
      <color theme="1"/>
      <name val="SwissRe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SwissReSans"/>
      <family val="2"/>
    </font>
    <font>
      <sz val="12"/>
      <color theme="1"/>
      <name val="Times New Roman"/>
      <family val="1"/>
    </font>
    <font>
      <b/>
      <sz val="11"/>
      <color theme="1"/>
      <name val="SwissReSans"/>
    </font>
    <font>
      <sz val="11"/>
      <color theme="1"/>
      <name val="SwissReSans"/>
      <family val="2"/>
    </font>
    <font>
      <u/>
      <sz val="11"/>
      <color theme="1"/>
      <name val="SwissReSans"/>
      <family val="2"/>
    </font>
    <font>
      <i/>
      <sz val="11"/>
      <color rgb="FF0070C0"/>
      <name val="SwissReSans"/>
    </font>
    <font>
      <sz val="11"/>
      <color rgb="FF0070C0"/>
      <name val="SwissReSans"/>
      <family val="2"/>
    </font>
    <font>
      <u/>
      <sz val="11"/>
      <color theme="1"/>
      <name val="SwissReSans"/>
    </font>
    <font>
      <sz val="11"/>
      <color theme="1"/>
      <name val="SwissReSans"/>
    </font>
    <font>
      <sz val="11"/>
      <name val="SwissReSans"/>
    </font>
    <font>
      <sz val="11"/>
      <color theme="1"/>
      <name val="Arial"/>
      <family val="2"/>
    </font>
    <font>
      <b/>
      <sz val="11"/>
      <color rgb="FFFF0000"/>
      <name val="SwissReSans"/>
    </font>
    <font>
      <b/>
      <sz val="11"/>
      <color theme="1"/>
      <name val="Arial"/>
      <family val="2"/>
    </font>
    <font>
      <b/>
      <u/>
      <sz val="11"/>
      <color theme="1"/>
      <name val="SwissReSans"/>
    </font>
    <font>
      <sz val="11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Symbol"/>
      <family val="1"/>
      <charset val="2"/>
    </font>
    <font>
      <vertAlign val="superscript"/>
      <sz val="11"/>
      <color theme="1"/>
      <name val="SwissReSans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44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161">
    <xf numFmtId="0" fontId="0" fillId="0" borderId="0" xfId="0"/>
    <xf numFmtId="0" fontId="7" fillId="0" borderId="0" xfId="0" applyFont="1"/>
    <xf numFmtId="0" fontId="0" fillId="2" borderId="0" xfId="0" applyFill="1"/>
    <xf numFmtId="0" fontId="7" fillId="0" borderId="0" xfId="0" applyFont="1" applyAlignment="1">
      <alignment horizontal="left" vertical="center" indent="8"/>
    </xf>
    <xf numFmtId="0" fontId="7" fillId="0" borderId="0" xfId="0" applyFont="1" applyAlignment="1">
      <alignment horizontal="left" vertical="center" indent="12"/>
    </xf>
    <xf numFmtId="0" fontId="9" fillId="0" borderId="0" xfId="0" applyFont="1" applyAlignment="1">
      <alignment vertical="center"/>
    </xf>
    <xf numFmtId="0" fontId="3" fillId="0" borderId="0" xfId="0" applyFont="1"/>
    <xf numFmtId="0" fontId="10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2" fontId="0" fillId="2" borderId="0" xfId="0" applyNumberFormat="1" applyFill="1"/>
    <xf numFmtId="43" fontId="0" fillId="0" borderId="0" xfId="0" applyNumberFormat="1"/>
    <xf numFmtId="164" fontId="0" fillId="0" borderId="0" xfId="0" applyNumberFormat="1"/>
    <xf numFmtId="0" fontId="12" fillId="0" borderId="0" xfId="0" applyFont="1"/>
    <xf numFmtId="165" fontId="0" fillId="0" borderId="0" xfId="0" applyNumberFormat="1"/>
    <xf numFmtId="43" fontId="0" fillId="2" borderId="3" xfId="4" applyFont="1" applyFill="1" applyBorder="1"/>
    <xf numFmtId="43" fontId="0" fillId="2" borderId="0" xfId="0" applyNumberFormat="1" applyFill="1"/>
    <xf numFmtId="164" fontId="0" fillId="0" borderId="0" xfId="4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/>
    <xf numFmtId="0" fontId="13" fillId="0" borderId="0" xfId="0" applyFont="1"/>
    <xf numFmtId="0" fontId="14" fillId="0" borderId="0" xfId="0" applyFont="1"/>
    <xf numFmtId="166" fontId="0" fillId="0" borderId="0" xfId="0" applyNumberFormat="1"/>
    <xf numFmtId="164" fontId="0" fillId="0" borderId="0" xfId="4" applyNumberFormat="1" applyFont="1"/>
    <xf numFmtId="43" fontId="0" fillId="0" borderId="0" xfId="4" applyFont="1" applyFill="1" applyBorder="1"/>
    <xf numFmtId="167" fontId="0" fillId="0" borderId="0" xfId="0" applyNumberFormat="1"/>
    <xf numFmtId="0" fontId="10" fillId="0" borderId="0" xfId="0" applyFont="1" applyAlignment="1">
      <alignment horizontal="center" wrapText="1"/>
    </xf>
    <xf numFmtId="3" fontId="14" fillId="0" borderId="0" xfId="0" applyNumberFormat="1" applyFont="1"/>
    <xf numFmtId="0" fontId="12" fillId="0" borderId="0" xfId="0" applyFont="1" applyAlignment="1">
      <alignment horizontal="left" indent="1"/>
    </xf>
    <xf numFmtId="10" fontId="0" fillId="0" borderId="0" xfId="5" applyNumberFormat="1" applyFont="1"/>
    <xf numFmtId="1" fontId="0" fillId="0" borderId="0" xfId="0" applyNumberFormat="1"/>
    <xf numFmtId="0" fontId="15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0" xfId="0" applyFont="1"/>
    <xf numFmtId="3" fontId="0" fillId="0" borderId="0" xfId="0" applyNumberFormat="1"/>
    <xf numFmtId="0" fontId="18" fillId="0" borderId="0" xfId="0" applyFont="1"/>
    <xf numFmtId="0" fontId="19" fillId="0" borderId="0" xfId="0" applyFont="1"/>
    <xf numFmtId="1" fontId="10" fillId="0" borderId="0" xfId="0" applyNumberFormat="1" applyFont="1"/>
    <xf numFmtId="43" fontId="16" fillId="0" borderId="4" xfId="4" applyFont="1" applyBorder="1"/>
    <xf numFmtId="0" fontId="16" fillId="0" borderId="5" xfId="0" applyFont="1" applyBorder="1"/>
    <xf numFmtId="43" fontId="16" fillId="0" borderId="4" xfId="4" applyFont="1" applyBorder="1" applyAlignment="1">
      <alignment horizontal="center"/>
    </xf>
    <xf numFmtId="43" fontId="16" fillId="0" borderId="6" xfId="4" applyFont="1" applyBorder="1"/>
    <xf numFmtId="0" fontId="16" fillId="0" borderId="7" xfId="0" applyFont="1" applyBorder="1"/>
    <xf numFmtId="164" fontId="0" fillId="0" borderId="8" xfId="4" applyNumberFormat="1" applyFont="1" applyBorder="1"/>
    <xf numFmtId="164" fontId="0" fillId="0" borderId="9" xfId="4" applyNumberFormat="1" applyFont="1" applyBorder="1"/>
    <xf numFmtId="164" fontId="0" fillId="0" borderId="5" xfId="4" applyNumberFormat="1" applyFont="1" applyBorder="1"/>
    <xf numFmtId="164" fontId="0" fillId="0" borderId="9" xfId="0" applyNumberFormat="1" applyBorder="1"/>
    <xf numFmtId="0" fontId="0" fillId="0" borderId="9" xfId="0" applyBorder="1"/>
    <xf numFmtId="165" fontId="0" fillId="0" borderId="9" xfId="0" applyNumberFormat="1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165" fontId="0" fillId="0" borderId="11" xfId="0" applyNumberFormat="1" applyBorder="1"/>
    <xf numFmtId="0" fontId="0" fillId="0" borderId="6" xfId="0" applyBorder="1"/>
    <xf numFmtId="164" fontId="0" fillId="0" borderId="9" xfId="4" applyNumberFormat="1" applyFont="1" applyFill="1" applyBorder="1"/>
    <xf numFmtId="164" fontId="0" fillId="0" borderId="12" xfId="4" applyNumberFormat="1" applyFont="1" applyBorder="1"/>
    <xf numFmtId="164" fontId="0" fillId="0" borderId="1" xfId="4" applyNumberFormat="1" applyFont="1" applyBorder="1"/>
    <xf numFmtId="164" fontId="0" fillId="0" borderId="2" xfId="4" applyNumberFormat="1" applyFont="1" applyBorder="1"/>
    <xf numFmtId="164" fontId="0" fillId="0" borderId="0" xfId="4" applyNumberFormat="1" applyFont="1" applyBorder="1"/>
    <xf numFmtId="0" fontId="0" fillId="0" borderId="13" xfId="0" applyBorder="1"/>
    <xf numFmtId="0" fontId="0" fillId="0" borderId="8" xfId="0" applyBorder="1"/>
    <xf numFmtId="0" fontId="0" fillId="0" borderId="5" xfId="0" applyBorder="1"/>
    <xf numFmtId="0" fontId="0" fillId="0" borderId="14" xfId="0" applyBorder="1"/>
    <xf numFmtId="0" fontId="0" fillId="0" borderId="15" xfId="0" applyBorder="1"/>
    <xf numFmtId="164" fontId="0" fillId="0" borderId="14" xfId="0" applyNumberFormat="1" applyBorder="1"/>
    <xf numFmtId="43" fontId="0" fillId="0" borderId="0" xfId="4" applyFont="1" applyBorder="1"/>
    <xf numFmtId="164" fontId="0" fillId="0" borderId="15" xfId="4" applyNumberFormat="1" applyFont="1" applyBorder="1"/>
    <xf numFmtId="0" fontId="12" fillId="0" borderId="6" xfId="0" applyFont="1" applyBorder="1"/>
    <xf numFmtId="0" fontId="10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2" xfId="0" applyFont="1" applyBorder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165" fontId="10" fillId="0" borderId="2" xfId="0" applyNumberFormat="1" applyFont="1" applyBorder="1" applyAlignment="1">
      <alignment horizontal="centerContinuous"/>
    </xf>
    <xf numFmtId="168" fontId="0" fillId="0" borderId="0" xfId="0" applyNumberFormat="1"/>
    <xf numFmtId="164" fontId="0" fillId="2" borderId="3" xfId="4" applyNumberFormat="1" applyFont="1" applyFill="1" applyBorder="1"/>
    <xf numFmtId="168" fontId="0" fillId="2" borderId="0" xfId="0" applyNumberFormat="1" applyFill="1"/>
    <xf numFmtId="168" fontId="0" fillId="2" borderId="16" xfId="0" applyNumberFormat="1" applyFill="1" applyBorder="1"/>
    <xf numFmtId="10" fontId="0" fillId="0" borderId="0" xfId="5" applyNumberFormat="1" applyFont="1" applyFill="1" applyBorder="1"/>
    <xf numFmtId="168" fontId="0" fillId="0" borderId="17" xfId="0" applyNumberFormat="1" applyBorder="1"/>
    <xf numFmtId="10" fontId="0" fillId="0" borderId="0" xfId="0" applyNumberFormat="1"/>
    <xf numFmtId="166" fontId="0" fillId="0" borderId="18" xfId="4" applyNumberFormat="1" applyFont="1" applyFill="1" applyBorder="1"/>
    <xf numFmtId="9" fontId="0" fillId="0" borderId="0" xfId="0" applyNumberFormat="1"/>
    <xf numFmtId="6" fontId="0" fillId="0" borderId="0" xfId="0" applyNumberFormat="1"/>
    <xf numFmtId="168" fontId="0" fillId="2" borderId="3" xfId="0" applyNumberFormat="1" applyFill="1" applyBorder="1"/>
    <xf numFmtId="166" fontId="0" fillId="2" borderId="3" xfId="4" applyNumberFormat="1" applyFont="1" applyFill="1" applyBorder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 indent="2"/>
    </xf>
    <xf numFmtId="165" fontId="18" fillId="0" borderId="3" xfId="5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 indent="2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1" fillId="0" borderId="0" xfId="0" applyFont="1"/>
    <xf numFmtId="165" fontId="18" fillId="0" borderId="21" xfId="5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 indent="2"/>
    </xf>
    <xf numFmtId="165" fontId="18" fillId="0" borderId="23" xfId="5" applyNumberFormat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 indent="2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3" fontId="22" fillId="0" borderId="27" xfId="0" applyNumberFormat="1" applyFont="1" applyBorder="1" applyAlignment="1">
      <alignment horizontal="center" vertical="center" wrapText="1"/>
    </xf>
    <xf numFmtId="3" fontId="22" fillId="0" borderId="28" xfId="0" applyNumberFormat="1" applyFont="1" applyBorder="1" applyAlignment="1">
      <alignment horizontal="center" vertical="center" wrapText="1"/>
    </xf>
    <xf numFmtId="10" fontId="18" fillId="0" borderId="29" xfId="0" applyNumberFormat="1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3" fontId="22" fillId="0" borderId="30" xfId="0" applyNumberFormat="1" applyFont="1" applyBorder="1" applyAlignment="1">
      <alignment horizontal="center" vertical="center" wrapText="1"/>
    </xf>
    <xf numFmtId="10" fontId="18" fillId="0" borderId="3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 indent="2"/>
    </xf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indent="4"/>
    </xf>
    <xf numFmtId="4" fontId="0" fillId="0" borderId="0" xfId="0" applyNumberFormat="1"/>
    <xf numFmtId="0" fontId="0" fillId="0" borderId="0" xfId="0" quotePrefix="1" applyAlignment="1">
      <alignment horizontal="right"/>
    </xf>
    <xf numFmtId="169" fontId="0" fillId="0" borderId="0" xfId="0" applyNumberFormat="1"/>
    <xf numFmtId="4" fontId="0" fillId="2" borderId="0" xfId="0" applyNumberFormat="1" applyFill="1"/>
    <xf numFmtId="0" fontId="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1" fillId="0" borderId="0" xfId="6" applyFont="1"/>
    <xf numFmtId="170" fontId="1" fillId="0" borderId="0" xfId="6" applyNumberFormat="1" applyFont="1" applyAlignment="1">
      <alignment horizontal="center"/>
    </xf>
    <xf numFmtId="0" fontId="1" fillId="0" borderId="0" xfId="6" applyFont="1" applyAlignment="1">
      <alignment horizontal="center"/>
    </xf>
    <xf numFmtId="2" fontId="1" fillId="0" borderId="0" xfId="6" applyNumberFormat="1" applyFont="1" applyAlignment="1">
      <alignment horizontal="center"/>
    </xf>
    <xf numFmtId="171" fontId="1" fillId="0" borderId="0" xfId="6" applyNumberFormat="1" applyFont="1" applyAlignment="1">
      <alignment horizontal="center"/>
    </xf>
    <xf numFmtId="1" fontId="1" fillId="0" borderId="0" xfId="6" applyNumberFormat="1" applyFont="1" applyAlignment="1">
      <alignment horizontal="center"/>
    </xf>
    <xf numFmtId="2" fontId="1" fillId="0" borderId="0" xfId="6" applyNumberFormat="1" applyFont="1"/>
    <xf numFmtId="0" fontId="27" fillId="0" borderId="0" xfId="6" applyFont="1" applyAlignment="1">
      <alignment horizontal="right" vertical="center"/>
    </xf>
    <xf numFmtId="0" fontId="27" fillId="0" borderId="0" xfId="6" applyFont="1" applyAlignment="1">
      <alignment vertical="center"/>
    </xf>
    <xf numFmtId="0" fontId="5" fillId="3" borderId="1" xfId="6" applyFont="1" applyFill="1" applyBorder="1" applyAlignment="1">
      <alignment horizontal="left" wrapText="1"/>
    </xf>
    <xf numFmtId="0" fontId="5" fillId="3" borderId="2" xfId="6" applyFont="1" applyFill="1" applyBorder="1" applyAlignment="1">
      <alignment horizontal="left" wrapText="1"/>
    </xf>
    <xf numFmtId="168" fontId="28" fillId="0" borderId="0" xfId="6" applyNumberFormat="1" applyFont="1"/>
    <xf numFmtId="2" fontId="1" fillId="4" borderId="0" xfId="6" applyNumberFormat="1" applyFont="1" applyFill="1"/>
    <xf numFmtId="2" fontId="1" fillId="2" borderId="0" xfId="6" applyNumberFormat="1" applyFont="1" applyFill="1"/>
    <xf numFmtId="0" fontId="7" fillId="0" borderId="0" xfId="6" applyFont="1"/>
    <xf numFmtId="2" fontId="28" fillId="4" borderId="0" xfId="6" applyNumberFormat="1" applyFont="1" applyFill="1"/>
    <xf numFmtId="2" fontId="28" fillId="2" borderId="0" xfId="6" applyNumberFormat="1" applyFont="1" applyFill="1"/>
    <xf numFmtId="170" fontId="1" fillId="0" borderId="0" xfId="6" applyNumberFormat="1" applyFont="1"/>
    <xf numFmtId="0" fontId="1" fillId="0" borderId="0" xfId="6" applyFont="1" applyAlignment="1">
      <alignment horizontal="left" vertical="center"/>
    </xf>
    <xf numFmtId="0" fontId="1" fillId="0" borderId="0" xfId="6" applyFont="1" applyAlignment="1">
      <alignment horizontal="left"/>
    </xf>
    <xf numFmtId="0" fontId="1" fillId="0" borderId="0" xfId="6" applyFont="1" applyAlignment="1">
      <alignment horizontal="left" vertical="center" indent="1"/>
    </xf>
    <xf numFmtId="0" fontId="1" fillId="0" borderId="0" xfId="6" applyFont="1" applyAlignment="1">
      <alignment vertical="center"/>
    </xf>
    <xf numFmtId="0" fontId="1" fillId="0" borderId="0" xfId="6" applyFont="1" applyAlignment="1">
      <alignment horizontal="left" indent="1"/>
    </xf>
    <xf numFmtId="9" fontId="27" fillId="0" borderId="8" xfId="6" applyNumberFormat="1" applyFont="1" applyBorder="1" applyAlignment="1">
      <alignment horizontal="center" vertical="center"/>
    </xf>
    <xf numFmtId="0" fontId="1" fillId="0" borderId="4" xfId="6" applyFont="1" applyBorder="1" applyAlignment="1">
      <alignment horizontal="center" vertical="center"/>
    </xf>
    <xf numFmtId="9" fontId="27" fillId="0" borderId="14" xfId="6" applyNumberFormat="1" applyFont="1" applyBorder="1" applyAlignment="1">
      <alignment horizontal="center" vertical="center"/>
    </xf>
    <xf numFmtId="0" fontId="1" fillId="0" borderId="13" xfId="6" applyFont="1" applyBorder="1" applyAlignment="1">
      <alignment horizontal="center" vertical="center"/>
    </xf>
    <xf numFmtId="9" fontId="1" fillId="0" borderId="14" xfId="6" applyNumberFormat="1" applyFont="1" applyBorder="1" applyAlignment="1">
      <alignment horizontal="center"/>
    </xf>
    <xf numFmtId="1" fontId="27" fillId="0" borderId="14" xfId="6" applyNumberFormat="1" applyFont="1" applyBorder="1" applyAlignment="1">
      <alignment horizontal="center" vertical="center"/>
    </xf>
    <xf numFmtId="0" fontId="1" fillId="0" borderId="13" xfId="6" applyFont="1" applyBorder="1" applyAlignment="1">
      <alignment horizontal="center"/>
    </xf>
    <xf numFmtId="0" fontId="1" fillId="0" borderId="12" xfId="6" applyFont="1" applyBorder="1" applyAlignment="1">
      <alignment horizontal="center"/>
    </xf>
    <xf numFmtId="0" fontId="1" fillId="0" borderId="3" xfId="6" applyFont="1" applyBorder="1" applyAlignment="1">
      <alignment horizontal="center"/>
    </xf>
  </cellXfs>
  <cellStyles count="7">
    <cellStyle name="Comma" xfId="4" builtinId="3"/>
    <cellStyle name="Currency 2" xfId="3" xr:uid="{1D9327A4-7B7E-4971-85E0-E4A0FD52D898}"/>
    <cellStyle name="Normal" xfId="0" builtinId="0"/>
    <cellStyle name="Normal 2" xfId="1" xr:uid="{7DB9C79E-01D7-4EA8-9A0D-53595E5ACD77}"/>
    <cellStyle name="Normal 2 2" xfId="6" xr:uid="{8ACB7F57-0AFF-4647-83E1-5B8AF6319591}"/>
    <cellStyle name="Normal 3" xfId="2" xr:uid="{37F08C95-04F5-40F2-BC37-6DCD4AA1B706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71</xdr:row>
      <xdr:rowOff>0</xdr:rowOff>
    </xdr:from>
    <xdr:to>
      <xdr:col>3</xdr:col>
      <xdr:colOff>101600</xdr:colOff>
      <xdr:row>73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0AD322-E31F-4E13-A894-04A7165E7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12443460"/>
          <a:ext cx="77216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3</xdr:col>
      <xdr:colOff>228600</xdr:colOff>
      <xdr:row>76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93FEBD-7FD3-4EEC-9032-B191680E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12969240"/>
          <a:ext cx="89916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54</xdr:row>
      <xdr:rowOff>38100</xdr:rowOff>
    </xdr:from>
    <xdr:ext cx="1198413" cy="426781"/>
    <xdr:pic>
      <xdr:nvPicPr>
        <xdr:cNvPr id="2" name="Picture 1">
          <a:extLst>
            <a:ext uri="{FF2B5EF4-FFF2-40B4-BE49-F238E27FC236}">
              <a16:creationId xmlns:a16="http://schemas.microsoft.com/office/drawing/2014/main" id="{23C33DC6-9B6B-4F66-B21D-68955A9C1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" y="9502140"/>
          <a:ext cx="1198413" cy="426781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60</xdr:row>
      <xdr:rowOff>171450</xdr:rowOff>
    </xdr:from>
    <xdr:ext cx="1341307" cy="624931"/>
    <xdr:pic>
      <xdr:nvPicPr>
        <xdr:cNvPr id="3" name="Picture 2">
          <a:extLst>
            <a:ext uri="{FF2B5EF4-FFF2-40B4-BE49-F238E27FC236}">
              <a16:creationId xmlns:a16="http://schemas.microsoft.com/office/drawing/2014/main" id="{8671080F-6C3A-46A3-8ABF-D94C9926C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" y="10687050"/>
          <a:ext cx="1341307" cy="62493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24</xdr:row>
      <xdr:rowOff>0</xdr:rowOff>
    </xdr:from>
    <xdr:ext cx="1998628" cy="1341313"/>
    <xdr:pic>
      <xdr:nvPicPr>
        <xdr:cNvPr id="2" name="Picture 1">
          <a:extLst>
            <a:ext uri="{FF2B5EF4-FFF2-40B4-BE49-F238E27FC236}">
              <a16:creationId xmlns:a16="http://schemas.microsoft.com/office/drawing/2014/main" id="{4BC32963-97D6-4A28-A21D-DC06D3B61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7280" y="4206240"/>
          <a:ext cx="1998628" cy="134131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15</xdr:row>
      <xdr:rowOff>95250</xdr:rowOff>
    </xdr:from>
    <xdr:ext cx="5043199" cy="2969627"/>
    <xdr:pic>
      <xdr:nvPicPr>
        <xdr:cNvPr id="2" name="Picture 1">
          <a:extLst>
            <a:ext uri="{FF2B5EF4-FFF2-40B4-BE49-F238E27FC236}">
              <a16:creationId xmlns:a16="http://schemas.microsoft.com/office/drawing/2014/main" id="{F3BE73D9-1D7E-4843-834F-8C8E0D100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" y="2724150"/>
          <a:ext cx="5043199" cy="296962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cialsecuritygov-my.sharepoint.com/personal/gene_cherng_ssa_gov/Documents/Documents/Personal/soa%20exam/ALM/topic3/CP351_1125_Q6.xlsx" TargetMode="External"/><Relationship Id="rId1" Type="http://schemas.openxmlformats.org/officeDocument/2006/relationships/externalLinkPath" Target="https://socialsecuritygov-my.sharepoint.com/personal/gene_cherng_ssa_gov/Documents/Documents/Personal/soa%20exam/ALM/topic3/CP351_1125_Q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520\OneDrive%20-%20Social%20Security%20Administration\Documents\Personal\soa%20exam\QFI\2022\QWS\Topic%202\QFIQF%202022%20Kim%20T2Q1.CB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183520/OneDrive%20-%20Social%20Security%20Administration/Documents/Personal/soa%20exam/QFI/2022/QWS/Topic%202/QFIQF%202022%20Kim%20T2Q1.CBT.xlsx" TargetMode="External"/><Relationship Id="rId1" Type="http://schemas.openxmlformats.org/officeDocument/2006/relationships/externalLinkPath" Target="/Users/183520/OneDrive%20-%20Social%20Security%20Administration/Documents/Personal/soa%20exam/QFI/2022/QWS/Topic%202/QFIQF%202022%20Kim%20T2Q1.CB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cialsecuritygov-my.sharepoint.com/Users/183520/OneDrive%20-%20Social%20Security%20Administration/Documents/Personal/soa%20exam/QFI/2022/QWS/Topic%202/QFIQF%202022%20Kim%20T2Q1.C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2 Solution"/>
      <sheetName val="Question 2 Rubic"/>
    </sheetNames>
    <sheetDataSet>
      <sheetData sheetId="0">
        <row r="17">
          <cell r="B17">
            <v>0.4</v>
          </cell>
        </row>
        <row r="18">
          <cell r="B18">
            <v>0.6</v>
          </cell>
        </row>
        <row r="21">
          <cell r="D21">
            <v>0.08</v>
          </cell>
        </row>
        <row r="22">
          <cell r="D22">
            <v>0.02</v>
          </cell>
        </row>
        <row r="23">
          <cell r="D23">
            <v>0.05</v>
          </cell>
        </row>
        <row r="24">
          <cell r="D24">
            <v>0.2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5B31-A6C0-4228-9D1B-4695A5CA9149}">
  <dimension ref="A1:I57"/>
  <sheetViews>
    <sheetView workbookViewId="0">
      <selection activeCell="C52" sqref="C52"/>
    </sheetView>
  </sheetViews>
  <sheetFormatPr defaultRowHeight="13.8"/>
  <cols>
    <col min="1" max="1" width="11" customWidth="1"/>
    <col min="4" max="4" width="15" customWidth="1"/>
    <col min="7" max="7" width="16" customWidth="1"/>
  </cols>
  <sheetData>
    <row r="1" spans="1:5">
      <c r="A1" t="s">
        <v>2</v>
      </c>
    </row>
    <row r="3" spans="1:5" ht="14.4">
      <c r="A3" s="1" t="s">
        <v>18</v>
      </c>
    </row>
    <row r="4" spans="1:5" ht="14.4">
      <c r="A4" s="1"/>
    </row>
    <row r="5" spans="1:5" ht="14.4">
      <c r="A5" s="10" t="s">
        <v>4</v>
      </c>
      <c r="B5" s="11"/>
      <c r="C5" s="11"/>
      <c r="D5" s="11"/>
      <c r="E5" s="11"/>
    </row>
    <row r="6" spans="1:5" ht="14.4">
      <c r="A6" s="3" t="s">
        <v>6</v>
      </c>
    </row>
    <row r="7" spans="1:5" ht="14.4">
      <c r="A7" s="3" t="s">
        <v>7</v>
      </c>
    </row>
    <row r="8" spans="1:5" ht="14.4">
      <c r="A8" s="10" t="s">
        <v>5</v>
      </c>
      <c r="B8" s="11"/>
      <c r="C8" s="11"/>
      <c r="D8" s="11"/>
      <c r="E8" s="11"/>
    </row>
    <row r="9" spans="1:5" ht="14.4">
      <c r="A9" s="3" t="s">
        <v>8</v>
      </c>
    </row>
    <row r="10" spans="1:5" ht="14.4">
      <c r="A10" s="3" t="s">
        <v>9</v>
      </c>
    </row>
    <row r="12" spans="1:5" ht="15.6">
      <c r="A12" s="5" t="s">
        <v>19</v>
      </c>
    </row>
    <row r="13" spans="1:5" ht="14.4">
      <c r="A13" s="1"/>
    </row>
    <row r="14" spans="1:5" ht="14.4">
      <c r="A14" s="3" t="s">
        <v>14</v>
      </c>
    </row>
    <row r="15" spans="1:5" ht="14.4">
      <c r="A15" s="4" t="s">
        <v>10</v>
      </c>
    </row>
    <row r="16" spans="1:5" ht="14.4">
      <c r="A16" s="4" t="s">
        <v>11</v>
      </c>
    </row>
    <row r="17" spans="1:5" ht="14.4">
      <c r="A17" s="3" t="s">
        <v>15</v>
      </c>
    </row>
    <row r="18" spans="1:5" ht="14.4">
      <c r="A18" s="4" t="s">
        <v>12</v>
      </c>
    </row>
    <row r="19" spans="1:5" ht="14.4">
      <c r="A19" s="4" t="s">
        <v>13</v>
      </c>
    </row>
    <row r="21" spans="1:5" ht="14.4">
      <c r="A21" s="1" t="s">
        <v>3</v>
      </c>
    </row>
    <row r="23" spans="1:5" ht="14.4">
      <c r="A23" s="12" t="s">
        <v>0</v>
      </c>
      <c r="B23" s="13"/>
      <c r="C23" s="13"/>
      <c r="D23" s="13"/>
      <c r="E23" s="13"/>
    </row>
    <row r="24" spans="1:5">
      <c r="A24" t="s">
        <v>4</v>
      </c>
      <c r="C24" s="2">
        <f>E31</f>
        <v>8</v>
      </c>
    </row>
    <row r="25" spans="1:5">
      <c r="A25" t="s">
        <v>5</v>
      </c>
      <c r="C25" s="2">
        <f>E32</f>
        <v>-3</v>
      </c>
    </row>
    <row r="28" spans="1:5" ht="14.4">
      <c r="A28" s="12" t="s">
        <v>1</v>
      </c>
      <c r="B28" s="13"/>
      <c r="C28" s="13"/>
      <c r="D28" s="13"/>
      <c r="E28" s="13"/>
    </row>
    <row r="30" spans="1:5" ht="14.4">
      <c r="A30" s="6"/>
      <c r="B30" s="6" t="s">
        <v>22</v>
      </c>
      <c r="C30" s="6" t="s">
        <v>23</v>
      </c>
      <c r="D30" t="s">
        <v>29</v>
      </c>
      <c r="E30" s="6" t="s">
        <v>17</v>
      </c>
    </row>
    <row r="31" spans="1:5" ht="14.4">
      <c r="A31" s="6" t="s">
        <v>20</v>
      </c>
      <c r="B31" s="6">
        <v>400</v>
      </c>
      <c r="C31" s="6">
        <v>450</v>
      </c>
      <c r="D31">
        <f>C31-B31</f>
        <v>50</v>
      </c>
      <c r="E31" s="6">
        <f>B31/D31</f>
        <v>8</v>
      </c>
    </row>
    <row r="32" spans="1:5" ht="14.4">
      <c r="A32" s="6" t="s">
        <v>21</v>
      </c>
      <c r="B32" s="6">
        <v>300</v>
      </c>
      <c r="C32" s="6">
        <v>200</v>
      </c>
      <c r="D32">
        <v>-100</v>
      </c>
      <c r="E32" s="6">
        <f>B32/D32</f>
        <v>-3</v>
      </c>
    </row>
    <row r="36" spans="1:5" ht="14.4">
      <c r="A36" s="1" t="s">
        <v>16</v>
      </c>
    </row>
    <row r="37" spans="1:5">
      <c r="A37" s="7" t="s">
        <v>30</v>
      </c>
    </row>
    <row r="38" spans="1:5" ht="14.4">
      <c r="A38" s="12" t="s">
        <v>0</v>
      </c>
      <c r="B38" s="13"/>
      <c r="C38" s="13"/>
      <c r="D38" s="13"/>
      <c r="E38" s="13"/>
    </row>
    <row r="39" spans="1:5">
      <c r="A39" t="s">
        <v>4</v>
      </c>
      <c r="C39" s="2" t="str">
        <f>E45</f>
        <v>Underhedged</v>
      </c>
    </row>
    <row r="40" spans="1:5">
      <c r="A40" t="s">
        <v>5</v>
      </c>
      <c r="C40" s="2" t="str">
        <f>E46</f>
        <v>Overhedged</v>
      </c>
    </row>
    <row r="42" spans="1:5" ht="14.4">
      <c r="A42" s="12" t="s">
        <v>1</v>
      </c>
      <c r="B42" s="13"/>
      <c r="C42" s="13"/>
      <c r="D42" s="13"/>
      <c r="E42" s="13"/>
    </row>
    <row r="44" spans="1:5" ht="14.4">
      <c r="A44" s="6"/>
      <c r="B44" s="6" t="s">
        <v>24</v>
      </c>
      <c r="C44" s="6" t="s">
        <v>25</v>
      </c>
      <c r="D44" s="6" t="s">
        <v>26</v>
      </c>
    </row>
    <row r="45" spans="1:5" ht="14.4">
      <c r="A45" s="6" t="s">
        <v>20</v>
      </c>
      <c r="B45" s="6">
        <v>10</v>
      </c>
      <c r="C45" s="6">
        <v>8</v>
      </c>
      <c r="D45" s="6">
        <f>C45-B45</f>
        <v>-2</v>
      </c>
      <c r="E45" t="s">
        <v>27</v>
      </c>
    </row>
    <row r="46" spans="1:5" ht="14.4">
      <c r="A46" s="6" t="s">
        <v>21</v>
      </c>
      <c r="B46" s="6">
        <v>35</v>
      </c>
      <c r="C46" s="6">
        <v>40</v>
      </c>
      <c r="D46" s="6">
        <f>C46-B46</f>
        <v>5</v>
      </c>
      <c r="E46" t="s">
        <v>28</v>
      </c>
    </row>
    <row r="48" spans="1:5">
      <c r="A48" s="7" t="s">
        <v>31</v>
      </c>
    </row>
    <row r="49" spans="1:9" ht="14.4">
      <c r="A49" s="12" t="s">
        <v>0</v>
      </c>
      <c r="B49" s="13"/>
      <c r="C49" s="13"/>
      <c r="D49" s="13"/>
      <c r="E49" s="13"/>
    </row>
    <row r="50" spans="1:9">
      <c r="A50" t="s">
        <v>4</v>
      </c>
      <c r="C50" s="2" t="str">
        <f>I56</f>
        <v>Underhedged</v>
      </c>
    </row>
    <row r="51" spans="1:9">
      <c r="A51" t="s">
        <v>5</v>
      </c>
      <c r="C51" s="2" t="str">
        <f>I57</f>
        <v>Underhedged</v>
      </c>
    </row>
    <row r="53" spans="1:9" ht="14.4">
      <c r="A53" s="12" t="s">
        <v>1</v>
      </c>
      <c r="B53" s="13"/>
      <c r="C53" s="13"/>
      <c r="D53" s="13"/>
      <c r="E53" s="13"/>
    </row>
    <row r="55" spans="1:9" ht="14.4">
      <c r="A55" s="6"/>
      <c r="B55" s="6" t="s">
        <v>24</v>
      </c>
      <c r="C55" t="s">
        <v>32</v>
      </c>
      <c r="D55" t="s">
        <v>33</v>
      </c>
      <c r="E55" t="s">
        <v>34</v>
      </c>
      <c r="F55" t="s">
        <v>35</v>
      </c>
      <c r="G55" t="s">
        <v>36</v>
      </c>
      <c r="H55" s="8" t="s">
        <v>26</v>
      </c>
      <c r="I55" s="6"/>
    </row>
    <row r="56" spans="1:9" ht="14.4">
      <c r="A56" s="6" t="s">
        <v>20</v>
      </c>
      <c r="B56" s="6">
        <f>B45</f>
        <v>10</v>
      </c>
      <c r="C56">
        <f>B31</f>
        <v>400</v>
      </c>
      <c r="D56">
        <f>B56*C56</f>
        <v>4000</v>
      </c>
      <c r="E56">
        <f>C45</f>
        <v>8</v>
      </c>
      <c r="F56">
        <f>C31</f>
        <v>450</v>
      </c>
      <c r="G56">
        <f>E56*F56</f>
        <v>3600</v>
      </c>
      <c r="H56" s="6">
        <f>G56-D56</f>
        <v>-400</v>
      </c>
      <c r="I56" s="8" t="s">
        <v>27</v>
      </c>
    </row>
    <row r="57" spans="1:9" ht="14.4">
      <c r="A57" s="6" t="s">
        <v>21</v>
      </c>
      <c r="B57" s="6">
        <v>35</v>
      </c>
      <c r="C57">
        <f>B32</f>
        <v>300</v>
      </c>
      <c r="D57">
        <f>B57*C57</f>
        <v>10500</v>
      </c>
      <c r="E57">
        <f>C46</f>
        <v>40</v>
      </c>
      <c r="F57">
        <f>C32</f>
        <v>200</v>
      </c>
      <c r="G57">
        <f>E57*F57</f>
        <v>8000</v>
      </c>
      <c r="H57" s="6">
        <f>G57-D57</f>
        <v>-2500</v>
      </c>
      <c r="I57" s="8" t="s">
        <v>27</v>
      </c>
    </row>
  </sheetData>
  <mergeCells count="8">
    <mergeCell ref="A5:E5"/>
    <mergeCell ref="A8:E8"/>
    <mergeCell ref="A38:E38"/>
    <mergeCell ref="A49:E49"/>
    <mergeCell ref="A53:E53"/>
    <mergeCell ref="A42:E42"/>
    <mergeCell ref="A23:E23"/>
    <mergeCell ref="A28:E28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2702-D7B0-4025-B411-460235799C24}">
  <dimension ref="A3:L184"/>
  <sheetViews>
    <sheetView showGridLines="0" topLeftCell="A95" zoomScale="86" workbookViewId="0">
      <selection activeCell="A178" sqref="A178"/>
    </sheetView>
  </sheetViews>
  <sheetFormatPr defaultRowHeight="13.8" outlineLevelRow="1"/>
  <cols>
    <col min="1" max="1" width="42.69921875" customWidth="1"/>
    <col min="2" max="2" width="16.09765625" customWidth="1"/>
    <col min="3" max="3" width="14.69921875" customWidth="1"/>
    <col min="4" max="4" width="12.09765625" customWidth="1"/>
    <col min="5" max="5" width="13.3984375" customWidth="1"/>
    <col min="6" max="6" width="10.8984375" customWidth="1"/>
    <col min="7" max="8" width="13.59765625" bestFit="1" customWidth="1"/>
    <col min="9" max="9" width="12.09765625" customWidth="1"/>
    <col min="10" max="10" width="14.5" bestFit="1" customWidth="1"/>
    <col min="11" max="11" width="17.59765625" customWidth="1"/>
    <col min="12" max="12" width="11.09765625" bestFit="1" customWidth="1"/>
    <col min="13" max="13" width="13.09765625" bestFit="1" customWidth="1"/>
  </cols>
  <sheetData>
    <row r="3" spans="1:6">
      <c r="A3" s="116" t="s">
        <v>145</v>
      </c>
      <c r="B3" s="18">
        <v>0.05</v>
      </c>
    </row>
    <row r="4" spans="1:6">
      <c r="A4" s="116" t="s">
        <v>144</v>
      </c>
      <c r="B4" s="18">
        <v>6.5000000000000002E-2</v>
      </c>
    </row>
    <row r="5" spans="1:6">
      <c r="A5" s="116" t="s">
        <v>143</v>
      </c>
      <c r="B5" s="27">
        <v>783</v>
      </c>
    </row>
    <row r="6" spans="1:6">
      <c r="A6" s="116"/>
      <c r="B6" s="27"/>
    </row>
    <row r="7" spans="1:6">
      <c r="A7" s="116"/>
      <c r="B7" s="88"/>
    </row>
    <row r="8" spans="1:6">
      <c r="A8" s="98" t="s">
        <v>142</v>
      </c>
    </row>
    <row r="9" spans="1:6" ht="14.4" thickBot="1"/>
    <row r="10" spans="1:6">
      <c r="A10" s="97" t="s">
        <v>121</v>
      </c>
      <c r="B10" s="113" t="s">
        <v>139</v>
      </c>
      <c r="C10" s="113" t="s">
        <v>137</v>
      </c>
      <c r="D10" s="96" t="s">
        <v>111</v>
      </c>
    </row>
    <row r="11" spans="1:6">
      <c r="A11" s="115">
        <v>0.05</v>
      </c>
      <c r="B11" s="105">
        <v>31500</v>
      </c>
      <c r="C11" s="105">
        <v>3685</v>
      </c>
      <c r="D11" s="114">
        <f>SUM(B11:C11)</f>
        <v>35185</v>
      </c>
      <c r="F11" s="38"/>
    </row>
    <row r="12" spans="1:6">
      <c r="A12" s="115">
        <v>5.2499999999999998E-2</v>
      </c>
      <c r="B12" s="105">
        <v>31100</v>
      </c>
      <c r="C12" s="105">
        <v>3505</v>
      </c>
      <c r="D12" s="114">
        <f>SUM(B12:C12)</f>
        <v>34605</v>
      </c>
      <c r="F12" s="38"/>
    </row>
    <row r="13" spans="1:6">
      <c r="A13" s="115">
        <v>5.5E-2</v>
      </c>
      <c r="B13" s="105">
        <v>30700</v>
      </c>
      <c r="C13" s="105">
        <v>3330</v>
      </c>
      <c r="D13" s="114">
        <f>SUM(B13:C13)</f>
        <v>34030</v>
      </c>
      <c r="F13" s="38"/>
    </row>
    <row r="14" spans="1:6">
      <c r="A14" s="115">
        <v>6.4000000000000001E-2</v>
      </c>
      <c r="B14" s="105">
        <v>29275</v>
      </c>
      <c r="C14" s="105">
        <v>2760</v>
      </c>
      <c r="D14" s="114">
        <f>SUM(B14:C14)</f>
        <v>32035</v>
      </c>
      <c r="F14" s="38"/>
    </row>
    <row r="15" spans="1:6">
      <c r="A15" s="115">
        <v>6.5000000000000002E-2</v>
      </c>
      <c r="B15" s="105">
        <v>29150</v>
      </c>
      <c r="C15" s="105">
        <v>2725</v>
      </c>
      <c r="D15" s="114">
        <f>SUM(B15:C15)</f>
        <v>31875</v>
      </c>
      <c r="F15" s="38"/>
    </row>
    <row r="16" spans="1:6">
      <c r="A16" s="115">
        <v>6.6000000000000003E-2</v>
      </c>
      <c r="B16" s="105">
        <v>29075</v>
      </c>
      <c r="C16" s="105">
        <v>2695</v>
      </c>
      <c r="D16" s="114">
        <f>SUM(B16:C16)</f>
        <v>31770</v>
      </c>
      <c r="F16" s="38"/>
    </row>
    <row r="17" spans="1:6">
      <c r="A17" s="115">
        <v>6.8000000000000005E-2</v>
      </c>
      <c r="B17" s="105">
        <v>28800</v>
      </c>
      <c r="C17" s="105">
        <v>2585</v>
      </c>
      <c r="D17" s="114">
        <f>SUM(B17:C17)</f>
        <v>31385</v>
      </c>
      <c r="F17" s="38"/>
    </row>
    <row r="18" spans="1:6" ht="14.4" thickBot="1">
      <c r="A18" s="109">
        <v>7.0000000000000007E-2</v>
      </c>
      <c r="B18" s="108">
        <v>28525</v>
      </c>
      <c r="C18" s="108">
        <v>2490</v>
      </c>
      <c r="D18" s="107">
        <f>SUM(B18:C18)</f>
        <v>31015</v>
      </c>
      <c r="F18" s="38"/>
    </row>
    <row r="21" spans="1:6">
      <c r="A21" s="98" t="s">
        <v>141</v>
      </c>
    </row>
    <row r="22" spans="1:6" ht="14.4" thickBot="1"/>
    <row r="23" spans="1:6">
      <c r="A23" s="97" t="s">
        <v>140</v>
      </c>
      <c r="B23" s="113" t="s">
        <v>78</v>
      </c>
      <c r="C23" s="96" t="s">
        <v>77</v>
      </c>
    </row>
    <row r="24" spans="1:6">
      <c r="A24" s="115" t="s">
        <v>139</v>
      </c>
      <c r="B24" s="105" t="s">
        <v>138</v>
      </c>
      <c r="C24" s="114" t="s">
        <v>138</v>
      </c>
    </row>
    <row r="25" spans="1:6" ht="14.4" thickBot="1">
      <c r="A25" s="109" t="s">
        <v>137</v>
      </c>
      <c r="B25" s="108">
        <v>12</v>
      </c>
      <c r="C25" s="107">
        <v>1800</v>
      </c>
    </row>
    <row r="26" spans="1:6" ht="14.4" thickBot="1">
      <c r="A26" s="106"/>
      <c r="B26" s="105"/>
      <c r="C26" s="105"/>
    </row>
    <row r="27" spans="1:6">
      <c r="A27" s="97" t="s">
        <v>105</v>
      </c>
      <c r="B27" s="113" t="s">
        <v>78</v>
      </c>
      <c r="C27" s="96" t="s">
        <v>77</v>
      </c>
    </row>
    <row r="28" spans="1:6">
      <c r="A28" s="112" t="s">
        <v>104</v>
      </c>
      <c r="B28" s="111">
        <v>14</v>
      </c>
      <c r="C28" s="110">
        <v>250</v>
      </c>
    </row>
    <row r="29" spans="1:6" ht="14.4" thickBot="1">
      <c r="A29" s="109" t="s">
        <v>136</v>
      </c>
      <c r="B29" s="108">
        <v>2</v>
      </c>
      <c r="C29" s="107">
        <v>10</v>
      </c>
    </row>
    <row r="30" spans="1:6">
      <c r="A30" s="106"/>
      <c r="B30" s="105"/>
      <c r="C30" s="105"/>
    </row>
    <row r="32" spans="1:6">
      <c r="A32" s="98" t="s">
        <v>135</v>
      </c>
    </row>
    <row r="33" spans="1:6" ht="14.4" thickBot="1"/>
    <row r="34" spans="1:6" ht="27.6">
      <c r="A34" s="104" t="s">
        <v>134</v>
      </c>
      <c r="B34" s="103" t="s">
        <v>133</v>
      </c>
    </row>
    <row r="35" spans="1:6">
      <c r="A35" s="102" t="s">
        <v>132</v>
      </c>
      <c r="B35" s="101">
        <v>5.0000000000000001E-3</v>
      </c>
    </row>
    <row r="36" spans="1:6" ht="14.4" thickBot="1">
      <c r="A36" s="100" t="s">
        <v>131</v>
      </c>
      <c r="B36" s="99">
        <v>0.2</v>
      </c>
    </row>
    <row r="39" spans="1:6">
      <c r="A39" s="98" t="s">
        <v>130</v>
      </c>
    </row>
    <row r="40" spans="1:6" ht="14.4" thickBot="1"/>
    <row r="41" spans="1:6">
      <c r="A41" s="97" t="s">
        <v>129</v>
      </c>
      <c r="B41" s="96" t="s">
        <v>128</v>
      </c>
    </row>
    <row r="42" spans="1:6">
      <c r="A42" s="95" t="s">
        <v>127</v>
      </c>
      <c r="B42" s="94">
        <v>5.0000000000000001E-3</v>
      </c>
    </row>
    <row r="43" spans="1:6" ht="20.100000000000001" customHeight="1">
      <c r="A43" s="95" t="s">
        <v>29</v>
      </c>
      <c r="B43" s="94">
        <v>0.2</v>
      </c>
    </row>
    <row r="45" spans="1:6">
      <c r="A45" s="93" t="s">
        <v>126</v>
      </c>
      <c r="B45" s="88">
        <v>1.5</v>
      </c>
    </row>
    <row r="46" spans="1:6">
      <c r="A46" s="93"/>
      <c r="B46" s="88"/>
    </row>
    <row r="47" spans="1:6">
      <c r="A47" s="92" t="s">
        <v>125</v>
      </c>
      <c r="B47" s="92"/>
      <c r="C47" s="92"/>
      <c r="D47" s="92"/>
      <c r="E47" s="92"/>
      <c r="F47" s="92"/>
    </row>
    <row r="48" spans="1:6">
      <c r="A48" t="s">
        <v>124</v>
      </c>
      <c r="B48" s="88"/>
    </row>
    <row r="49" spans="1:8">
      <c r="A49" t="s">
        <v>123</v>
      </c>
    </row>
    <row r="50" spans="1:8">
      <c r="A50" t="s">
        <v>122</v>
      </c>
    </row>
    <row r="52" spans="1:8" ht="14.4">
      <c r="A52" s="12" t="s">
        <v>0</v>
      </c>
      <c r="B52" s="13"/>
      <c r="C52" s="13"/>
      <c r="D52" s="13"/>
      <c r="E52" s="13"/>
    </row>
    <row r="53" spans="1:8">
      <c r="A53" t="s">
        <v>78</v>
      </c>
      <c r="B53" s="91">
        <f>F75</f>
        <v>3.4305317324185216</v>
      </c>
    </row>
    <row r="54" spans="1:8">
      <c r="A54" t="s">
        <v>77</v>
      </c>
      <c r="B54" s="91">
        <f>F76</f>
        <v>1715.2658662092592</v>
      </c>
    </row>
    <row r="55" spans="1:8">
      <c r="A55" t="s">
        <v>84</v>
      </c>
      <c r="B55" s="90">
        <f>F82</f>
        <v>218.625</v>
      </c>
    </row>
    <row r="58" spans="1:8" ht="14.4">
      <c r="A58" s="12" t="s">
        <v>1</v>
      </c>
      <c r="B58" s="13"/>
      <c r="C58" s="13"/>
      <c r="D58" s="13"/>
      <c r="E58" s="13"/>
    </row>
    <row r="60" spans="1:8">
      <c r="A60" s="17"/>
    </row>
    <row r="62" spans="1:8" ht="14.4">
      <c r="D62" s="27"/>
      <c r="E62" s="89"/>
      <c r="F62" s="84"/>
      <c r="G62" s="24"/>
      <c r="H62" s="24"/>
    </row>
    <row r="63" spans="1:8" ht="14.4">
      <c r="F63" s="88"/>
      <c r="G63" s="24"/>
      <c r="H63" s="24"/>
    </row>
    <row r="64" spans="1:8" ht="14.4">
      <c r="A64" t="s">
        <v>121</v>
      </c>
      <c r="F64" s="84">
        <v>6.5000000000000002E-2</v>
      </c>
      <c r="G64" s="24"/>
      <c r="H64" s="24"/>
    </row>
    <row r="66" spans="1:8" ht="14.4">
      <c r="A66" s="24"/>
    </row>
    <row r="68" spans="1:8" ht="14.4">
      <c r="A68" s="17"/>
      <c r="B68" s="24"/>
    </row>
    <row r="70" spans="1:8">
      <c r="A70" t="s">
        <v>120</v>
      </c>
      <c r="F70" t="s">
        <v>88</v>
      </c>
      <c r="G70" t="s">
        <v>119</v>
      </c>
    </row>
    <row r="71" spans="1:8">
      <c r="A71" t="s">
        <v>118</v>
      </c>
      <c r="E71" t="s">
        <v>117</v>
      </c>
      <c r="F71" s="38">
        <f>B14</f>
        <v>29275</v>
      </c>
      <c r="G71" s="86">
        <f>A14</f>
        <v>6.4000000000000001E-2</v>
      </c>
      <c r="H71" s="86"/>
    </row>
    <row r="72" spans="1:8">
      <c r="B72" t="s">
        <v>114</v>
      </c>
      <c r="E72" t="s">
        <v>116</v>
      </c>
      <c r="F72" s="38">
        <f>B15</f>
        <v>29150</v>
      </c>
      <c r="G72" s="86">
        <f>A15</f>
        <v>6.5000000000000002E-2</v>
      </c>
      <c r="H72" s="86"/>
    </row>
    <row r="73" spans="1:8">
      <c r="E73" t="s">
        <v>115</v>
      </c>
      <c r="F73" s="38">
        <f>B16</f>
        <v>29075</v>
      </c>
      <c r="G73" s="86">
        <f>A16</f>
        <v>6.6000000000000003E-2</v>
      </c>
      <c r="H73" s="86"/>
    </row>
    <row r="74" spans="1:8" ht="14.4" thickBot="1"/>
    <row r="75" spans="1:8">
      <c r="B75" t="s">
        <v>114</v>
      </c>
      <c r="E75" t="s">
        <v>78</v>
      </c>
      <c r="F75" s="87">
        <f>(F71-F73)/(F72*2*G75)</f>
        <v>3.4305317324185216</v>
      </c>
      <c r="G75" s="86">
        <f>G72-G71</f>
        <v>1.0000000000000009E-3</v>
      </c>
      <c r="H75" s="86"/>
    </row>
    <row r="76" spans="1:8" ht="14.4" thickBot="1">
      <c r="E76" s="37" t="s">
        <v>77</v>
      </c>
      <c r="F76" s="85">
        <f>(F71+F73-2*F72)/(G75^2*F72)</f>
        <v>1715.2658662092592</v>
      </c>
    </row>
    <row r="77" spans="1:8">
      <c r="E77" s="37"/>
      <c r="F77" s="80"/>
    </row>
    <row r="78" spans="1:8">
      <c r="E78" s="37"/>
      <c r="F78" s="80"/>
    </row>
    <row r="79" spans="1:8">
      <c r="B79" t="s">
        <v>84</v>
      </c>
      <c r="E79" s="37" t="s">
        <v>88</v>
      </c>
      <c r="F79" s="80">
        <f>F72</f>
        <v>29150</v>
      </c>
    </row>
    <row r="80" spans="1:8">
      <c r="E80" s="37" t="s">
        <v>113</v>
      </c>
      <c r="F80" s="84">
        <f>B42</f>
        <v>5.0000000000000001E-3</v>
      </c>
    </row>
    <row r="81" spans="1:9" ht="14.4" thickBot="1">
      <c r="E81" s="37" t="s">
        <v>112</v>
      </c>
      <c r="F81" s="84">
        <f>B45</f>
        <v>1.5</v>
      </c>
    </row>
    <row r="82" spans="1:9" ht="14.4" thickBot="1">
      <c r="E82" s="37" t="s">
        <v>111</v>
      </c>
      <c r="F82" s="83">
        <f>F79*F80*F81</f>
        <v>218.625</v>
      </c>
    </row>
    <row r="83" spans="1:9">
      <c r="E83" s="37"/>
      <c r="F83" s="82"/>
    </row>
    <row r="84" spans="1:9">
      <c r="E84" s="37"/>
      <c r="F84" s="82"/>
    </row>
    <row r="85" spans="1:9">
      <c r="A85" s="39" t="s">
        <v>110</v>
      </c>
      <c r="E85" s="37"/>
      <c r="F85" s="80"/>
    </row>
    <row r="86" spans="1:9">
      <c r="E86" s="37"/>
      <c r="F86" s="80"/>
    </row>
    <row r="87" spans="1:9" ht="14.4">
      <c r="A87" s="12" t="s">
        <v>0</v>
      </c>
      <c r="B87" s="13"/>
      <c r="C87" s="13"/>
      <c r="D87" s="13"/>
      <c r="E87" s="13"/>
    </row>
    <row r="88" spans="1:9">
      <c r="A88" t="s">
        <v>52</v>
      </c>
      <c r="B88" s="81">
        <f>B112</f>
        <v>174.97885867862655</v>
      </c>
    </row>
    <row r="89" spans="1:9">
      <c r="B89" s="18"/>
    </row>
    <row r="90" spans="1:9">
      <c r="E90" s="37"/>
      <c r="F90" s="80"/>
    </row>
    <row r="91" spans="1:9" ht="14.4">
      <c r="A91" s="12" t="s">
        <v>1</v>
      </c>
      <c r="B91" s="13"/>
      <c r="C91" s="13"/>
      <c r="D91" s="13"/>
      <c r="E91" s="13"/>
    </row>
    <row r="93" spans="1:9">
      <c r="A93" s="7" t="s">
        <v>109</v>
      </c>
      <c r="B93" s="18"/>
    </row>
    <row r="94" spans="1:9">
      <c r="A94" s="7"/>
      <c r="B94" s="79" t="s">
        <v>109</v>
      </c>
      <c r="C94" s="77"/>
      <c r="D94" s="77"/>
      <c r="E94" s="77"/>
      <c r="F94" s="76"/>
      <c r="G94" s="78" t="s">
        <v>108</v>
      </c>
      <c r="H94" s="77"/>
      <c r="I94" s="76"/>
    </row>
    <row r="95" spans="1:9" ht="27.6">
      <c r="A95" s="7"/>
      <c r="B95" s="75" t="s">
        <v>79</v>
      </c>
      <c r="C95" s="74" t="s">
        <v>78</v>
      </c>
      <c r="D95" s="74" t="s">
        <v>75</v>
      </c>
      <c r="E95" s="74" t="s">
        <v>77</v>
      </c>
      <c r="F95" s="74" t="s">
        <v>74</v>
      </c>
      <c r="G95" s="75" t="s">
        <v>79</v>
      </c>
      <c r="H95" s="74" t="s">
        <v>107</v>
      </c>
      <c r="I95" s="73" t="s">
        <v>106</v>
      </c>
    </row>
    <row r="96" spans="1:9">
      <c r="A96" s="72" t="s">
        <v>105</v>
      </c>
      <c r="B96" s="30"/>
      <c r="C96" s="30"/>
      <c r="D96" s="30"/>
      <c r="E96" s="30"/>
      <c r="F96" s="30"/>
      <c r="G96" s="56"/>
      <c r="H96" s="55"/>
      <c r="I96" s="54"/>
    </row>
    <row r="97" spans="1:9">
      <c r="A97" s="64" t="s">
        <v>104</v>
      </c>
      <c r="B97" s="63">
        <f>C15-B5</f>
        <v>1942</v>
      </c>
      <c r="C97" s="21">
        <f>B28</f>
        <v>14</v>
      </c>
      <c r="D97" s="21">
        <f>B97*C97</f>
        <v>27188</v>
      </c>
      <c r="E97" s="63">
        <f>C28</f>
        <v>250</v>
      </c>
      <c r="F97" s="63">
        <f>B97*E97</f>
        <v>485500</v>
      </c>
      <c r="G97" s="68"/>
      <c r="I97" s="67"/>
    </row>
    <row r="98" spans="1:9">
      <c r="A98" s="64" t="s">
        <v>29</v>
      </c>
      <c r="B98" s="63"/>
      <c r="C98" s="21"/>
      <c r="D98" s="21"/>
      <c r="E98" s="63"/>
      <c r="F98" s="63"/>
      <c r="G98" s="71">
        <f>B5</f>
        <v>783</v>
      </c>
      <c r="H98" s="70">
        <f>B36</f>
        <v>0.2</v>
      </c>
      <c r="I98" s="69">
        <f>G98*H98</f>
        <v>156.60000000000002</v>
      </c>
    </row>
    <row r="99" spans="1:9">
      <c r="A99" s="64" t="s">
        <v>103</v>
      </c>
      <c r="B99" s="28">
        <f>B97*$B$42*$B$45</f>
        <v>14.565000000000001</v>
      </c>
      <c r="C99" s="21">
        <f>$B$29</f>
        <v>2</v>
      </c>
      <c r="D99" s="21">
        <f>B99*C99</f>
        <v>29.130000000000003</v>
      </c>
      <c r="E99" s="21">
        <f>$C$29</f>
        <v>10</v>
      </c>
      <c r="F99" s="63">
        <f>B99*E99</f>
        <v>145.65</v>
      </c>
      <c r="G99" s="68"/>
      <c r="I99" s="67"/>
    </row>
    <row r="100" spans="1:9">
      <c r="A100" s="64" t="s">
        <v>102</v>
      </c>
      <c r="B100" s="21">
        <f>$B$55</f>
        <v>218.625</v>
      </c>
      <c r="C100" s="21">
        <f>C99</f>
        <v>2</v>
      </c>
      <c r="D100" s="21">
        <f>B100*C100</f>
        <v>437.25</v>
      </c>
      <c r="E100" s="63">
        <f>E99</f>
        <v>10</v>
      </c>
      <c r="F100" s="63">
        <f>B100*E100</f>
        <v>2186.25</v>
      </c>
      <c r="G100" s="68"/>
      <c r="I100" s="67"/>
    </row>
    <row r="101" spans="1:9">
      <c r="A101" s="53" t="s">
        <v>101</v>
      </c>
      <c r="B101" s="48">
        <f>$B$5*$B$43*$B$45</f>
        <v>234.90000000000003</v>
      </c>
      <c r="C101" s="59">
        <f>C100</f>
        <v>2</v>
      </c>
      <c r="D101" s="59">
        <f>B101*C101</f>
        <v>469.80000000000007</v>
      </c>
      <c r="E101" s="48">
        <f>E100</f>
        <v>10</v>
      </c>
      <c r="F101" s="48">
        <f>B101*E101</f>
        <v>2349.0000000000005</v>
      </c>
      <c r="G101" s="66"/>
      <c r="H101" s="51"/>
      <c r="I101" s="65"/>
    </row>
    <row r="102" spans="1:9">
      <c r="A102" s="64" t="s">
        <v>69</v>
      </c>
      <c r="B102" s="63">
        <f>SUM(B97:B101)</f>
        <v>2410.09</v>
      </c>
      <c r="C102" s="27"/>
      <c r="D102" s="63">
        <f>SUM(D97:D101)</f>
        <v>28124.18</v>
      </c>
      <c r="E102" s="27"/>
      <c r="F102" s="63">
        <f>SUM(F97:F101)</f>
        <v>490180.9</v>
      </c>
      <c r="G102" s="62"/>
      <c r="H102" s="61"/>
      <c r="I102" s="60">
        <f>SUM(I97:I101)</f>
        <v>156.60000000000002</v>
      </c>
    </row>
    <row r="103" spans="1:9">
      <c r="A103" s="58"/>
      <c r="B103" s="57"/>
      <c r="C103" s="55"/>
      <c r="D103" s="55"/>
      <c r="E103" s="55"/>
      <c r="F103" s="55"/>
      <c r="G103" s="56"/>
      <c r="H103" s="55"/>
      <c r="I103" s="54"/>
    </row>
    <row r="104" spans="1:9">
      <c r="A104" s="53" t="s">
        <v>68</v>
      </c>
      <c r="B104" s="48">
        <f>C15</f>
        <v>2725</v>
      </c>
      <c r="C104" s="50">
        <f>F128</f>
        <v>12</v>
      </c>
      <c r="D104" s="59">
        <f>B104*C104</f>
        <v>32700</v>
      </c>
      <c r="E104" s="50">
        <f>F129</f>
        <v>1800</v>
      </c>
      <c r="F104" s="48">
        <f>B104*E104</f>
        <v>4905000</v>
      </c>
      <c r="G104" s="49"/>
      <c r="H104" s="48"/>
      <c r="I104" s="47"/>
    </row>
    <row r="105" spans="1:9">
      <c r="A105" s="58"/>
      <c r="B105" s="57"/>
      <c r="C105" s="55"/>
      <c r="D105" s="55"/>
      <c r="E105" s="55"/>
      <c r="F105" s="55"/>
      <c r="G105" s="56"/>
      <c r="H105" s="55"/>
      <c r="I105" s="54"/>
    </row>
    <row r="106" spans="1:9">
      <c r="A106" s="53" t="s">
        <v>100</v>
      </c>
      <c r="B106" s="52"/>
      <c r="C106" s="51"/>
      <c r="D106" s="50">
        <f>D102-D104</f>
        <v>-4575.82</v>
      </c>
      <c r="E106" s="51"/>
      <c r="F106" s="50">
        <f>F102-F104</f>
        <v>-4414819.0999999996</v>
      </c>
      <c r="G106" s="49"/>
      <c r="H106" s="48"/>
      <c r="I106" s="47">
        <f>I102-I104</f>
        <v>156.60000000000002</v>
      </c>
    </row>
    <row r="107" spans="1:9">
      <c r="B107" s="18"/>
    </row>
    <row r="108" spans="1:9">
      <c r="B108" s="18"/>
    </row>
    <row r="109" spans="1:9">
      <c r="A109" s="7" t="s">
        <v>52</v>
      </c>
      <c r="B109" s="18"/>
    </row>
    <row r="110" spans="1:9">
      <c r="A110" s="46" t="s">
        <v>99</v>
      </c>
      <c r="B110" s="45">
        <f>D106*B35+1/2*F106*B35^2</f>
        <v>-78.06433874999999</v>
      </c>
    </row>
    <row r="111" spans="1:9">
      <c r="A111" s="43" t="s">
        <v>98</v>
      </c>
      <c r="B111" s="44">
        <f>I106</f>
        <v>156.60000000000002</v>
      </c>
    </row>
    <row r="112" spans="1:9">
      <c r="A112" s="43" t="s">
        <v>52</v>
      </c>
      <c r="B112" s="42">
        <f>SQRT(B110^2+B111^2)</f>
        <v>174.97885867862655</v>
      </c>
      <c r="D112" s="41"/>
    </row>
    <row r="113" spans="1:8">
      <c r="B113" s="18"/>
    </row>
    <row r="114" spans="1:8">
      <c r="A114" s="40"/>
      <c r="B114" s="18"/>
    </row>
    <row r="115" spans="1:8">
      <c r="A115" s="40"/>
      <c r="B115" s="18"/>
    </row>
    <row r="116" spans="1:8">
      <c r="A116" s="39" t="s">
        <v>97</v>
      </c>
    </row>
    <row r="117" spans="1:8" hidden="1" outlineLevel="1">
      <c r="A117" s="7" t="s">
        <v>96</v>
      </c>
    </row>
    <row r="118" spans="1:8" hidden="1" outlineLevel="1">
      <c r="A118" t="s">
        <v>95</v>
      </c>
    </row>
    <row r="119" spans="1:8" hidden="1" outlineLevel="1"/>
    <row r="120" spans="1:8" hidden="1" outlineLevel="1">
      <c r="A120" t="s">
        <v>94</v>
      </c>
    </row>
    <row r="121" spans="1:8" hidden="1" outlineLevel="1"/>
    <row r="122" spans="1:8" hidden="1" outlineLevel="1">
      <c r="A122" s="36" t="s">
        <v>93</v>
      </c>
      <c r="B122" s="25" t="s">
        <v>92</v>
      </c>
    </row>
    <row r="123" spans="1:8" hidden="1" outlineLevel="1">
      <c r="A123" s="36" t="s">
        <v>91</v>
      </c>
    </row>
    <row r="124" spans="1:8" hidden="1" outlineLevel="1">
      <c r="A124" s="36"/>
    </row>
    <row r="125" spans="1:8" hidden="1" outlineLevel="1">
      <c r="A125" s="36"/>
    </row>
    <row r="126" spans="1:8" hidden="1" outlineLevel="1">
      <c r="A126" s="35" t="s">
        <v>90</v>
      </c>
    </row>
    <row r="127" spans="1:8" ht="14.4" hidden="1" outlineLevel="1">
      <c r="A127" t="s">
        <v>89</v>
      </c>
      <c r="B127" s="27">
        <f>F127*F128</f>
        <v>32700</v>
      </c>
      <c r="E127" t="s">
        <v>88</v>
      </c>
      <c r="F127" s="38">
        <f>C15</f>
        <v>2725</v>
      </c>
      <c r="G127" s="24"/>
      <c r="H127" s="24"/>
    </row>
    <row r="128" spans="1:8" ht="14.4" hidden="1" outlineLevel="1">
      <c r="A128" t="s">
        <v>87</v>
      </c>
      <c r="B128" s="27">
        <f>F127*F129</f>
        <v>4905000</v>
      </c>
      <c r="E128" t="s">
        <v>78</v>
      </c>
      <c r="F128" s="27">
        <v>12</v>
      </c>
      <c r="G128" s="24" t="s">
        <v>86</v>
      </c>
      <c r="H128" s="24"/>
    </row>
    <row r="129" spans="1:12" ht="14.4" hidden="1" outlineLevel="1">
      <c r="B129" s="27"/>
      <c r="E129" s="37" t="s">
        <v>77</v>
      </c>
      <c r="F129" s="27">
        <v>1800</v>
      </c>
      <c r="G129" s="24" t="s">
        <v>86</v>
      </c>
      <c r="H129" s="24"/>
    </row>
    <row r="130" spans="1:12" hidden="1" outlineLevel="1">
      <c r="A130" s="36"/>
    </row>
    <row r="131" spans="1:12" hidden="1" outlineLevel="1">
      <c r="A131" s="35" t="s">
        <v>85</v>
      </c>
    </row>
    <row r="132" spans="1:12" ht="14.4" hidden="1" outlineLevel="1">
      <c r="A132" t="s">
        <v>84</v>
      </c>
      <c r="B132" s="34">
        <f>F82</f>
        <v>218.625</v>
      </c>
      <c r="C132" s="24" t="s">
        <v>83</v>
      </c>
    </row>
    <row r="133" spans="1:12" ht="14.4" hidden="1" outlineLevel="1">
      <c r="B133" s="33"/>
      <c r="C133" s="24"/>
    </row>
    <row r="134" spans="1:12" hidden="1" outlineLevel="1">
      <c r="A134" s="32" t="s">
        <v>82</v>
      </c>
    </row>
    <row r="135" spans="1:12" hidden="1" outlineLevel="1">
      <c r="B135" s="31" t="s">
        <v>81</v>
      </c>
      <c r="I135" s="31" t="s">
        <v>80</v>
      </c>
    </row>
    <row r="136" spans="1:12" s="30" customFormat="1" ht="27.6" hidden="1" outlineLevel="1">
      <c r="B136" s="30" t="s">
        <v>79</v>
      </c>
      <c r="C136" s="30" t="s">
        <v>78</v>
      </c>
      <c r="D136" s="30" t="s">
        <v>75</v>
      </c>
      <c r="E136" s="30" t="s">
        <v>77</v>
      </c>
      <c r="F136" s="30" t="s">
        <v>74</v>
      </c>
      <c r="I136" s="30" t="s">
        <v>76</v>
      </c>
      <c r="J136" s="30" t="s">
        <v>75</v>
      </c>
      <c r="K136" s="30" t="s">
        <v>74</v>
      </c>
    </row>
    <row r="137" spans="1:12" hidden="1" outlineLevel="1">
      <c r="A137" t="s">
        <v>73</v>
      </c>
      <c r="B137" s="21">
        <f>F127</f>
        <v>2725</v>
      </c>
      <c r="C137" s="21" t="e">
        <f>#REF!</f>
        <v>#REF!</v>
      </c>
      <c r="D137" s="21" t="e">
        <f>B137*C137</f>
        <v>#REF!</v>
      </c>
      <c r="E137" s="27" t="e">
        <f>#REF!</f>
        <v>#REF!</v>
      </c>
      <c r="F137" s="27" t="e">
        <f>B137*E137</f>
        <v>#REF!</v>
      </c>
      <c r="I137" s="15">
        <f>B137+B5*B146</f>
        <v>1942</v>
      </c>
      <c r="J137" s="27" t="e">
        <f>C137*I137</f>
        <v>#REF!</v>
      </c>
      <c r="K137" s="27" t="e">
        <f>E137*I137</f>
        <v>#REF!</v>
      </c>
      <c r="L137" s="27" t="e">
        <f>F146*$B$166</f>
        <v>#REF!</v>
      </c>
    </row>
    <row r="138" spans="1:12" hidden="1" outlineLevel="1">
      <c r="A138" t="s">
        <v>72</v>
      </c>
      <c r="B138" s="21">
        <f>$B$132</f>
        <v>218.625</v>
      </c>
      <c r="C138" s="21" t="e">
        <f>#REF!</f>
        <v>#REF!</v>
      </c>
      <c r="D138" s="21" t="e">
        <f>B138*C138</f>
        <v>#REF!</v>
      </c>
      <c r="E138" s="27" t="e">
        <f>#REF!</f>
        <v>#REF!</v>
      </c>
      <c r="F138" s="27" t="e">
        <f>B138*E138</f>
        <v>#REF!</v>
      </c>
      <c r="I138" s="16">
        <f>B138</f>
        <v>218.625</v>
      </c>
      <c r="J138" s="27" t="e">
        <f>C138*I138</f>
        <v>#REF!</v>
      </c>
      <c r="K138" s="27" t="e">
        <f>E138*I138</f>
        <v>#REF!</v>
      </c>
      <c r="L138" s="27"/>
    </row>
    <row r="139" spans="1:12" hidden="1" outlineLevel="1">
      <c r="A139" t="s">
        <v>71</v>
      </c>
      <c r="B139" s="28">
        <f>B137*$B$42*$B$45</f>
        <v>20.4375</v>
      </c>
      <c r="C139" s="21" t="e">
        <f>#REF!</f>
        <v>#REF!</v>
      </c>
      <c r="D139" s="21" t="e">
        <f>B139*C139</f>
        <v>#REF!</v>
      </c>
      <c r="E139" s="27" t="e">
        <f>#REF!</f>
        <v>#REF!</v>
      </c>
      <c r="F139" s="27" t="e">
        <f>B139*E139</f>
        <v>#REF!</v>
      </c>
      <c r="I139" s="21">
        <f>B139+B147*B166</f>
        <v>14.565000000000001</v>
      </c>
      <c r="J139" s="27" t="e">
        <f>C139*I139</f>
        <v>#REF!</v>
      </c>
      <c r="K139" s="27" t="e">
        <f>E139*I139</f>
        <v>#REF!</v>
      </c>
      <c r="L139" s="27" t="e">
        <f>F147*$B$166+K139</f>
        <v>#REF!</v>
      </c>
    </row>
    <row r="140" spans="1:12" hidden="1" outlineLevel="1">
      <c r="A140" t="s">
        <v>70</v>
      </c>
      <c r="B140" s="21"/>
      <c r="C140" s="21" t="e">
        <f>#REF!</f>
        <v>#REF!</v>
      </c>
      <c r="D140" s="21" t="e">
        <f>B140*C140</f>
        <v>#REF!</v>
      </c>
      <c r="E140" s="27" t="e">
        <f>#REF!</f>
        <v>#REF!</v>
      </c>
      <c r="F140" s="27" t="e">
        <f>B140*E140</f>
        <v>#REF!</v>
      </c>
      <c r="I140" s="21">
        <f>$B$5*B148</f>
        <v>234.90000000000003</v>
      </c>
      <c r="J140" s="27" t="e">
        <f>C140*I140</f>
        <v>#REF!</v>
      </c>
      <c r="K140" s="27" t="e">
        <f>E140*I140</f>
        <v>#REF!</v>
      </c>
      <c r="L140" s="27" t="e">
        <f>F148*$B$166+K140</f>
        <v>#REF!</v>
      </c>
    </row>
    <row r="141" spans="1:12" hidden="1" outlineLevel="1">
      <c r="A141" t="s">
        <v>69</v>
      </c>
      <c r="B141" s="21"/>
      <c r="C141" s="21"/>
      <c r="D141" s="28" t="e">
        <f>SUM(D137:D140)</f>
        <v>#REF!</v>
      </c>
      <c r="E141" s="27"/>
      <c r="F141" s="21" t="e">
        <f>SUM(F137:F140)</f>
        <v>#REF!</v>
      </c>
      <c r="G141" s="15"/>
      <c r="H141" s="15"/>
      <c r="J141" s="21" t="e">
        <f>SUM(J137:J140)</f>
        <v>#REF!</v>
      </c>
      <c r="K141" s="21" t="e">
        <f>SUM(K137:K140)</f>
        <v>#REF!</v>
      </c>
      <c r="L141" s="27"/>
    </row>
    <row r="142" spans="1:12" hidden="1" outlineLevel="1">
      <c r="A142" t="s">
        <v>68</v>
      </c>
      <c r="B142" s="21"/>
      <c r="C142" s="21"/>
      <c r="D142" s="21">
        <f>B127</f>
        <v>32700</v>
      </c>
      <c r="E142" s="27"/>
      <c r="F142" s="27">
        <f>B128</f>
        <v>4905000</v>
      </c>
      <c r="J142" s="21">
        <f>D142</f>
        <v>32700</v>
      </c>
      <c r="K142" s="21">
        <f>F142</f>
        <v>4905000</v>
      </c>
      <c r="L142" s="27"/>
    </row>
    <row r="143" spans="1:12" hidden="1" outlineLevel="1">
      <c r="A143" t="s">
        <v>67</v>
      </c>
      <c r="B143" s="21"/>
      <c r="C143" s="21"/>
      <c r="D143" s="21" t="e">
        <f>D141-D142</f>
        <v>#REF!</v>
      </c>
      <c r="E143" s="27"/>
      <c r="F143" s="21" t="e">
        <f>F141-F142</f>
        <v>#REF!</v>
      </c>
      <c r="G143" s="15" t="e">
        <f>F143/2</f>
        <v>#REF!</v>
      </c>
      <c r="H143" s="15"/>
      <c r="J143" s="21" t="e">
        <f>J141-J142</f>
        <v>#REF!</v>
      </c>
      <c r="K143" s="21" t="e">
        <f>K141-K142</f>
        <v>#REF!</v>
      </c>
      <c r="L143" s="21"/>
    </row>
    <row r="144" spans="1:12" hidden="1" outlineLevel="1">
      <c r="B144" s="21"/>
      <c r="C144" s="21"/>
      <c r="D144" s="21"/>
      <c r="E144" s="27"/>
      <c r="F144" s="27"/>
      <c r="G144" s="15" t="e">
        <f>G143*0.005</f>
        <v>#REF!</v>
      </c>
      <c r="H144" s="15"/>
      <c r="J144" s="15"/>
    </row>
    <row r="145" spans="1:12" hidden="1" outlineLevel="1">
      <c r="A145" s="17" t="s">
        <v>66</v>
      </c>
    </row>
    <row r="146" spans="1:12" hidden="1" outlineLevel="1">
      <c r="A146" t="s">
        <v>65</v>
      </c>
      <c r="B146">
        <v>-1</v>
      </c>
      <c r="C146" s="16" t="e">
        <f>C137</f>
        <v>#REF!</v>
      </c>
      <c r="D146" s="21" t="e">
        <f>B146*C146</f>
        <v>#REF!</v>
      </c>
      <c r="E146" s="16" t="e">
        <f>E137</f>
        <v>#REF!</v>
      </c>
      <c r="F146" s="27" t="e">
        <f>B146*E146</f>
        <v>#REF!</v>
      </c>
      <c r="J146" t="e">
        <f>D146*$B$166</f>
        <v>#REF!</v>
      </c>
      <c r="L146" s="27" t="e">
        <f>F149*B166</f>
        <v>#REF!</v>
      </c>
    </row>
    <row r="147" spans="1:12" hidden="1" outlineLevel="1">
      <c r="A147" t="s">
        <v>64</v>
      </c>
      <c r="B147">
        <f>-B45*B42</f>
        <v>-7.4999999999999997E-3</v>
      </c>
      <c r="C147" s="16" t="e">
        <f>#REF!</f>
        <v>#REF!</v>
      </c>
      <c r="D147" s="28" t="e">
        <f>B147*C147</f>
        <v>#REF!</v>
      </c>
      <c r="E147" s="27" t="e">
        <f>#REF!</f>
        <v>#REF!</v>
      </c>
      <c r="F147" s="27" t="e">
        <f>B147*E147</f>
        <v>#REF!</v>
      </c>
      <c r="J147" t="e">
        <f>D147*$B$166</f>
        <v>#REF!</v>
      </c>
    </row>
    <row r="148" spans="1:12" hidden="1" outlineLevel="1">
      <c r="A148" t="s">
        <v>63</v>
      </c>
      <c r="B148" s="29">
        <f>$B$43*$B$45</f>
        <v>0.30000000000000004</v>
      </c>
      <c r="C148" s="16" t="e">
        <f>#REF!</f>
        <v>#REF!</v>
      </c>
      <c r="D148" s="28" t="e">
        <f>B148*C148</f>
        <v>#REF!</v>
      </c>
      <c r="E148" s="27" t="e">
        <f>#REF!</f>
        <v>#REF!</v>
      </c>
      <c r="F148" s="27" t="e">
        <f>B148*E148</f>
        <v>#REF!</v>
      </c>
      <c r="J148" t="e">
        <f>D148*$B$166</f>
        <v>#REF!</v>
      </c>
    </row>
    <row r="149" spans="1:12" hidden="1" outlineLevel="1">
      <c r="D149" s="26" t="e">
        <f>SUM(D146:D148)</f>
        <v>#REF!</v>
      </c>
      <c r="F149" s="16" t="e">
        <f>SUM(F146:F148)</f>
        <v>#REF!</v>
      </c>
    </row>
    <row r="150" spans="1:12" hidden="1" outlineLevel="1">
      <c r="F150" s="15" t="e">
        <f>F149/2</f>
        <v>#REF!</v>
      </c>
    </row>
    <row r="151" spans="1:12" hidden="1" outlineLevel="1">
      <c r="A151" t="s">
        <v>62</v>
      </c>
      <c r="B151" s="15" t="e">
        <f>D143*B35+1/2*F143*B35^2</f>
        <v>#REF!</v>
      </c>
    </row>
    <row r="152" spans="1:12" hidden="1" outlineLevel="1">
      <c r="A152" t="s">
        <v>61</v>
      </c>
      <c r="B152" s="15" t="e">
        <f>D149*B35+1/2*F149*B35^2</f>
        <v>#REF!</v>
      </c>
      <c r="C152" s="25" t="s">
        <v>59</v>
      </c>
    </row>
    <row r="153" spans="1:12" hidden="1" outlineLevel="1">
      <c r="A153" t="s">
        <v>60</v>
      </c>
      <c r="B153" s="18">
        <f>B36</f>
        <v>0.2</v>
      </c>
      <c r="C153" t="s">
        <v>59</v>
      </c>
    </row>
    <row r="154" spans="1:12" hidden="1" outlineLevel="1">
      <c r="B154" s="18"/>
    </row>
    <row r="155" spans="1:12" hidden="1" outlineLevel="1">
      <c r="B155" s="18"/>
    </row>
    <row r="156" spans="1:12" hidden="1" outlineLevel="1">
      <c r="B156" s="18"/>
    </row>
    <row r="157" spans="1:12" hidden="1" outlineLevel="1">
      <c r="B157" s="18"/>
    </row>
    <row r="158" spans="1:12" hidden="1" outlineLevel="1">
      <c r="A158" s="7" t="s">
        <v>58</v>
      </c>
      <c r="B158" s="18"/>
    </row>
    <row r="159" spans="1:12" ht="14.4" hidden="1" outlineLevel="1">
      <c r="A159" s="24" t="s">
        <v>57</v>
      </c>
      <c r="B159" s="18"/>
    </row>
    <row r="160" spans="1:12" hidden="1" outlineLevel="1">
      <c r="B160" s="18"/>
    </row>
    <row r="161" spans="1:10" hidden="1" outlineLevel="1">
      <c r="B161" s="15"/>
    </row>
    <row r="162" spans="1:10" hidden="1" outlineLevel="1">
      <c r="A162" t="s">
        <v>56</v>
      </c>
      <c r="B162" s="22" t="s">
        <v>55</v>
      </c>
      <c r="C162" s="22" t="s">
        <v>54</v>
      </c>
      <c r="D162" s="22" t="s">
        <v>53</v>
      </c>
      <c r="E162" s="22" t="s">
        <v>52</v>
      </c>
    </row>
    <row r="163" spans="1:10" hidden="1" outlineLevel="1">
      <c r="A163" t="s">
        <v>51</v>
      </c>
      <c r="B163" s="15" t="e">
        <f>B151^2</f>
        <v>#REF!</v>
      </c>
      <c r="C163" s="23" t="e">
        <f>B151*B152*2</f>
        <v>#REF!</v>
      </c>
      <c r="D163" s="15" t="e">
        <f>B152^2+B153^2</f>
        <v>#REF!</v>
      </c>
      <c r="E163">
        <f>175^2</f>
        <v>30625</v>
      </c>
      <c r="I163" s="15" t="e">
        <f>B163+C163*B166+D163*B166^2</f>
        <v>#REF!</v>
      </c>
      <c r="J163" s="15"/>
    </row>
    <row r="164" spans="1:10" hidden="1" outlineLevel="1">
      <c r="A164" t="s">
        <v>50</v>
      </c>
      <c r="B164" s="22" t="s">
        <v>49</v>
      </c>
      <c r="C164" s="22" t="s">
        <v>48</v>
      </c>
      <c r="D164" s="22" t="s">
        <v>47</v>
      </c>
    </row>
    <row r="165" spans="1:10" hidden="1" outlineLevel="1">
      <c r="B165" s="21" t="e">
        <f>B163-E163</f>
        <v>#REF!</v>
      </c>
      <c r="C165" t="e">
        <f>C163</f>
        <v>#REF!</v>
      </c>
      <c r="D165" s="15" t="e">
        <f>D163</f>
        <v>#REF!</v>
      </c>
    </row>
    <row r="166" spans="1:10" hidden="1" outlineLevel="1">
      <c r="A166" t="s">
        <v>46</v>
      </c>
      <c r="B166" s="20">
        <v>783</v>
      </c>
      <c r="C166" s="15">
        <f>B166*0.15</f>
        <v>117.44999999999999</v>
      </c>
    </row>
    <row r="167" spans="1:10" hidden="1" outlineLevel="1">
      <c r="A167" t="s">
        <v>45</v>
      </c>
      <c r="B167" s="15">
        <f>B137-B166</f>
        <v>1942</v>
      </c>
      <c r="C167" s="15">
        <f>B167*0.095</f>
        <v>184.49</v>
      </c>
    </row>
    <row r="168" spans="1:10" hidden="1" outlineLevel="1">
      <c r="A168" t="s">
        <v>41</v>
      </c>
      <c r="B168" s="15">
        <f>B138+B166*B45*B43+B139-B166*B45*B42</f>
        <v>468.09</v>
      </c>
      <c r="C168" s="15">
        <f>B168*0.05</f>
        <v>23.404499999999999</v>
      </c>
    </row>
    <row r="169" spans="1:10" hidden="1" outlineLevel="1">
      <c r="B169" s="15"/>
    </row>
    <row r="170" spans="1:10" hidden="1" outlineLevel="1">
      <c r="A170" t="s">
        <v>44</v>
      </c>
      <c r="B170" s="15">
        <f>SQRT((B166*B36)^2+B110^2)</f>
        <v>174.97885867862655</v>
      </c>
    </row>
    <row r="171" spans="1:10" collapsed="1"/>
    <row r="172" spans="1:10" ht="14.4">
      <c r="A172" s="12" t="s">
        <v>0</v>
      </c>
      <c r="B172" s="13"/>
      <c r="C172" s="13"/>
      <c r="D172" s="13"/>
      <c r="E172" s="13"/>
    </row>
    <row r="173" spans="1:10">
      <c r="A173" t="s">
        <v>43</v>
      </c>
      <c r="B173" s="19">
        <f>B184</f>
        <v>5.8215300476404108</v>
      </c>
    </row>
    <row r="174" spans="1:10">
      <c r="B174" s="18"/>
    </row>
    <row r="176" spans="1:10" ht="14.4">
      <c r="A176" s="12" t="s">
        <v>1</v>
      </c>
      <c r="B176" s="13"/>
      <c r="C176" s="13"/>
      <c r="D176" s="13"/>
      <c r="E176" s="13"/>
    </row>
    <row r="177" spans="1:3">
      <c r="A177" s="17"/>
    </row>
    <row r="178" spans="1:3">
      <c r="A178" t="s">
        <v>42</v>
      </c>
      <c r="B178" s="16">
        <f>C15</f>
        <v>2725</v>
      </c>
    </row>
    <row r="179" spans="1:3">
      <c r="A179" t="s">
        <v>41</v>
      </c>
      <c r="B179" s="15">
        <f>SUM(B99:B101)</f>
        <v>468.09000000000003</v>
      </c>
    </row>
    <row r="180" spans="1:3">
      <c r="A180" t="s">
        <v>40</v>
      </c>
      <c r="C180" s="15">
        <f>B100</f>
        <v>218.625</v>
      </c>
    </row>
    <row r="181" spans="1:3">
      <c r="A181" t="s">
        <v>39</v>
      </c>
      <c r="C181" s="15">
        <f>B101</f>
        <v>234.90000000000003</v>
      </c>
    </row>
    <row r="182" spans="1:3">
      <c r="A182" t="s">
        <v>38</v>
      </c>
      <c r="C182" s="15">
        <f>B99</f>
        <v>14.565000000000001</v>
      </c>
    </row>
    <row r="183" spans="1:3">
      <c r="C183" s="15"/>
    </row>
    <row r="184" spans="1:3">
      <c r="A184" t="s">
        <v>37</v>
      </c>
      <c r="B184" s="14">
        <f>B178/B179</f>
        <v>5.8215300476404108</v>
      </c>
    </row>
  </sheetData>
  <mergeCells count="7">
    <mergeCell ref="A47:F47"/>
    <mergeCell ref="A176:E176"/>
    <mergeCell ref="A91:E91"/>
    <mergeCell ref="A52:E52"/>
    <mergeCell ref="A58:E58"/>
    <mergeCell ref="A87:E87"/>
    <mergeCell ref="A172:E17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576A-A033-4571-8701-C25583387FB7}">
  <dimension ref="A1:K90"/>
  <sheetViews>
    <sheetView topLeftCell="A23" zoomScaleNormal="100" workbookViewId="0"/>
  </sheetViews>
  <sheetFormatPr defaultRowHeight="13.8"/>
  <cols>
    <col min="2" max="3" width="12.59765625" customWidth="1"/>
  </cols>
  <sheetData>
    <row r="1" spans="1:3">
      <c r="A1" t="s">
        <v>196</v>
      </c>
    </row>
    <row r="3" spans="1:3" ht="16.2">
      <c r="B3" t="s">
        <v>195</v>
      </c>
    </row>
    <row r="5" spans="1:3" ht="14.4" thickBot="1">
      <c r="B5" s="122"/>
    </row>
    <row r="6" spans="1:3" ht="29.4" thickBot="1">
      <c r="B6" s="121" t="s">
        <v>194</v>
      </c>
      <c r="C6" s="120" t="s">
        <v>193</v>
      </c>
    </row>
    <row r="7" spans="1:3" ht="15" thickBot="1">
      <c r="B7" s="119">
        <v>1</v>
      </c>
      <c r="C7" s="118">
        <v>1.2</v>
      </c>
    </row>
    <row r="8" spans="1:3" ht="15" thickBot="1">
      <c r="B8" s="119">
        <v>2</v>
      </c>
      <c r="C8" s="118">
        <v>2.1</v>
      </c>
    </row>
    <row r="9" spans="1:3" ht="15" thickBot="1">
      <c r="B9" s="119">
        <v>3</v>
      </c>
      <c r="C9" s="118">
        <v>1.7</v>
      </c>
    </row>
    <row r="10" spans="1:3" s="9" customFormat="1" ht="15" thickBot="1">
      <c r="B10" s="119">
        <v>4</v>
      </c>
      <c r="C10" s="118">
        <v>4.5</v>
      </c>
    </row>
    <row r="11" spans="1:3" ht="15" thickBot="1">
      <c r="B11" s="119">
        <v>5</v>
      </c>
      <c r="C11" s="118" t="s">
        <v>138</v>
      </c>
    </row>
    <row r="13" spans="1:3" ht="14.4">
      <c r="A13" s="117" t="s">
        <v>192</v>
      </c>
    </row>
    <row r="16" spans="1:3" ht="14.4">
      <c r="A16" s="1" t="s">
        <v>191</v>
      </c>
    </row>
    <row r="18" spans="1:11" ht="14.4">
      <c r="A18" s="12" t="s">
        <v>0</v>
      </c>
      <c r="B18" s="13"/>
      <c r="C18" s="13"/>
      <c r="D18" s="13"/>
      <c r="E18" s="13"/>
    </row>
    <row r="19" spans="1:11">
      <c r="A19" t="s">
        <v>190</v>
      </c>
      <c r="C19" s="2">
        <f>D36</f>
        <v>12.6</v>
      </c>
    </row>
    <row r="22" spans="1:11" ht="14.4">
      <c r="A22" s="12" t="s">
        <v>1</v>
      </c>
      <c r="B22" s="13"/>
      <c r="C22" s="13"/>
      <c r="D22" s="13"/>
      <c r="E22" s="13"/>
    </row>
    <row r="24" spans="1:11">
      <c r="A24" t="s">
        <v>189</v>
      </c>
    </row>
    <row r="25" spans="1:11">
      <c r="B25" t="s">
        <v>188</v>
      </c>
      <c r="K25" t="s">
        <v>187</v>
      </c>
    </row>
    <row r="26" spans="1:11">
      <c r="C26" t="s">
        <v>186</v>
      </c>
    </row>
    <row r="27" spans="1:11">
      <c r="C27" t="s">
        <v>185</v>
      </c>
      <c r="H27">
        <v>6.1999999999999998E-3</v>
      </c>
    </row>
    <row r="28" spans="1:11">
      <c r="C28" t="s">
        <v>184</v>
      </c>
    </row>
    <row r="29" spans="1:11">
      <c r="C29" t="s">
        <v>183</v>
      </c>
      <c r="H29">
        <v>2E-3</v>
      </c>
    </row>
    <row r="30" spans="1:11">
      <c r="B30" t="s">
        <v>182</v>
      </c>
    </row>
    <row r="31" spans="1:11">
      <c r="B31" t="s">
        <v>181</v>
      </c>
    </row>
    <row r="32" spans="1:11">
      <c r="B32" t="s">
        <v>180</v>
      </c>
      <c r="H32">
        <f>H27/H29</f>
        <v>3.0999999999999996</v>
      </c>
    </row>
    <row r="34" spans="1:11">
      <c r="A34" t="s">
        <v>179</v>
      </c>
    </row>
    <row r="35" spans="1:11">
      <c r="B35" t="s">
        <v>178</v>
      </c>
      <c r="K35" t="s">
        <v>177</v>
      </c>
    </row>
    <row r="36" spans="1:11">
      <c r="B36" t="s">
        <v>176</v>
      </c>
      <c r="D36">
        <f>SUM(C7:C10,H32)</f>
        <v>12.6</v>
      </c>
    </row>
    <row r="40" spans="1:11" ht="14.4">
      <c r="A40" s="1" t="s">
        <v>175</v>
      </c>
    </row>
    <row r="42" spans="1:11" ht="14.4">
      <c r="A42" s="12" t="s">
        <v>0</v>
      </c>
      <c r="B42" s="13"/>
      <c r="C42" s="13"/>
      <c r="D42" s="13"/>
      <c r="E42" s="13"/>
    </row>
    <row r="43" spans="1:11">
      <c r="A43" t="s">
        <v>77</v>
      </c>
      <c r="C43" s="2">
        <f>C85</f>
        <v>-2.52</v>
      </c>
    </row>
    <row r="46" spans="1:11" ht="14.4">
      <c r="A46" s="12" t="s">
        <v>1</v>
      </c>
      <c r="B46" s="13"/>
      <c r="C46" s="13"/>
      <c r="D46" s="13"/>
      <c r="E46" s="13"/>
    </row>
    <row r="49" spans="1:11">
      <c r="A49" t="s">
        <v>174</v>
      </c>
    </row>
    <row r="50" spans="1:11">
      <c r="B50" t="s">
        <v>173</v>
      </c>
    </row>
    <row r="51" spans="1:11">
      <c r="B51" t="s">
        <v>172</v>
      </c>
    </row>
    <row r="52" spans="1:11">
      <c r="E52" s="38"/>
    </row>
    <row r="53" spans="1:11">
      <c r="A53" t="s">
        <v>171</v>
      </c>
    </row>
    <row r="54" spans="1:11">
      <c r="B54" t="s">
        <v>170</v>
      </c>
    </row>
    <row r="56" spans="1:11">
      <c r="K56" t="s">
        <v>169</v>
      </c>
    </row>
    <row r="58" spans="1:11">
      <c r="B58" t="s">
        <v>168</v>
      </c>
    </row>
    <row r="60" spans="1:11">
      <c r="A60" t="s">
        <v>167</v>
      </c>
    </row>
    <row r="61" spans="1:11">
      <c r="B61" t="s">
        <v>166</v>
      </c>
    </row>
    <row r="63" spans="1:11">
      <c r="K63" t="s">
        <v>165</v>
      </c>
    </row>
    <row r="66" spans="1:3">
      <c r="B66" t="s">
        <v>164</v>
      </c>
    </row>
    <row r="68" spans="1:3">
      <c r="A68" t="s">
        <v>163</v>
      </c>
    </row>
    <row r="69" spans="1:3">
      <c r="B69" t="s">
        <v>162</v>
      </c>
    </row>
    <row r="70" spans="1:3">
      <c r="C70" t="s">
        <v>161</v>
      </c>
    </row>
    <row r="71" spans="1:3">
      <c r="C71" t="s">
        <v>160</v>
      </c>
    </row>
    <row r="72" spans="1:3">
      <c r="B72" t="s">
        <v>159</v>
      </c>
    </row>
    <row r="73" spans="1:3">
      <c r="C73" t="s">
        <v>158</v>
      </c>
    </row>
    <row r="74" spans="1:3">
      <c r="B74" t="s">
        <v>157</v>
      </c>
    </row>
    <row r="75" spans="1:3">
      <c r="C75" t="s">
        <v>156</v>
      </c>
    </row>
    <row r="76" spans="1:3">
      <c r="C76" t="s">
        <v>155</v>
      </c>
    </row>
    <row r="77" spans="1:3">
      <c r="B77" t="s">
        <v>154</v>
      </c>
    </row>
    <row r="78" spans="1:3">
      <c r="C78" t="s">
        <v>153</v>
      </c>
    </row>
    <row r="80" spans="1:3">
      <c r="A80" t="s">
        <v>152</v>
      </c>
    </row>
    <row r="81" spans="2:3">
      <c r="B81" t="s">
        <v>151</v>
      </c>
    </row>
    <row r="82" spans="2:3">
      <c r="B82" t="s">
        <v>150</v>
      </c>
    </row>
    <row r="83" spans="2:3">
      <c r="B83" t="s">
        <v>148</v>
      </c>
      <c r="C83">
        <v>3</v>
      </c>
    </row>
    <row r="84" spans="2:3">
      <c r="B84" t="s">
        <v>147</v>
      </c>
      <c r="C84">
        <f>D36</f>
        <v>12.6</v>
      </c>
    </row>
    <row r="85" spans="2:3">
      <c r="B85" t="s">
        <v>146</v>
      </c>
      <c r="C85">
        <f>-C84/(C83+2)</f>
        <v>-2.52</v>
      </c>
    </row>
    <row r="87" spans="2:3">
      <c r="B87" t="s">
        <v>149</v>
      </c>
    </row>
    <row r="88" spans="2:3">
      <c r="B88" t="s">
        <v>148</v>
      </c>
      <c r="C88" s="88">
        <v>0.03</v>
      </c>
    </row>
    <row r="89" spans="2:3">
      <c r="B89" t="s">
        <v>147</v>
      </c>
      <c r="C89">
        <f>D36</f>
        <v>12.6</v>
      </c>
    </row>
    <row r="90" spans="2:3">
      <c r="B90" t="s">
        <v>146</v>
      </c>
      <c r="C90">
        <f>-C89/(C88+2)</f>
        <v>-6.2068965517241388</v>
      </c>
    </row>
  </sheetData>
  <mergeCells count="4">
    <mergeCell ref="A18:E18"/>
    <mergeCell ref="A46:E46"/>
    <mergeCell ref="A42:E42"/>
    <mergeCell ref="A22:E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012B-2CD4-462A-8135-9ECBB3B8144D}">
  <dimension ref="A2:O46"/>
  <sheetViews>
    <sheetView zoomScaleNormal="120" workbookViewId="0">
      <selection activeCell="G8" sqref="G8"/>
    </sheetView>
  </sheetViews>
  <sheetFormatPr defaultRowHeight="13.8"/>
  <cols>
    <col min="1" max="1" width="19.3984375" customWidth="1"/>
    <col min="2" max="2" width="18.19921875" customWidth="1"/>
  </cols>
  <sheetData>
    <row r="2" spans="1:5" ht="14.4" thickBot="1">
      <c r="A2" s="128" t="s">
        <v>220</v>
      </c>
    </row>
    <row r="3" spans="1:5" ht="15" thickBot="1">
      <c r="A3" s="121" t="s">
        <v>219</v>
      </c>
      <c r="B3" s="120" t="s">
        <v>218</v>
      </c>
    </row>
    <row r="4" spans="1:5" ht="15" thickBot="1">
      <c r="A4" s="119">
        <v>1</v>
      </c>
      <c r="B4" s="118">
        <v>7</v>
      </c>
    </row>
    <row r="5" spans="1:5" ht="15" thickBot="1">
      <c r="A5" s="119">
        <v>3</v>
      </c>
      <c r="B5" s="118">
        <v>3</v>
      </c>
    </row>
    <row r="6" spans="1:5" ht="15" thickBot="1">
      <c r="A6" s="119">
        <v>7</v>
      </c>
      <c r="B6" s="118">
        <v>19</v>
      </c>
    </row>
    <row r="7" spans="1:5" ht="14.4">
      <c r="A7" s="128" t="s">
        <v>217</v>
      </c>
      <c r="B7" s="127"/>
    </row>
    <row r="8" spans="1:5" ht="14.4">
      <c r="A8" s="128" t="s">
        <v>216</v>
      </c>
      <c r="B8" s="127"/>
    </row>
    <row r="9" spans="1:5" ht="14.4">
      <c r="A9" s="128"/>
      <c r="B9" s="127"/>
    </row>
    <row r="10" spans="1:5" ht="14.4">
      <c r="A10" s="128" t="s">
        <v>215</v>
      </c>
      <c r="B10" s="127"/>
    </row>
    <row r="12" spans="1:5" ht="14.4">
      <c r="A12" s="12" t="s">
        <v>0</v>
      </c>
      <c r="B12" s="13"/>
      <c r="C12" s="13"/>
      <c r="D12" s="13"/>
      <c r="E12" s="13"/>
    </row>
    <row r="13" spans="1:5">
      <c r="A13" t="s">
        <v>214</v>
      </c>
      <c r="C13" s="126">
        <f>F46</f>
        <v>4.2406703531078875</v>
      </c>
    </row>
    <row r="16" spans="1:5" ht="14.4">
      <c r="A16" s="12" t="s">
        <v>1</v>
      </c>
      <c r="B16" s="13"/>
      <c r="C16" s="13"/>
      <c r="D16" s="13"/>
      <c r="E16" s="13"/>
    </row>
    <row r="18" spans="2:15">
      <c r="B18" t="s">
        <v>213</v>
      </c>
    </row>
    <row r="19" spans="2:15">
      <c r="B19" t="s">
        <v>212</v>
      </c>
    </row>
    <row r="20" spans="2:15">
      <c r="B20" t="s">
        <v>211</v>
      </c>
      <c r="I20" t="s">
        <v>210</v>
      </c>
    </row>
    <row r="21" spans="2:15">
      <c r="I21" t="s">
        <v>209</v>
      </c>
    </row>
    <row r="22" spans="2:15">
      <c r="C22" t="s">
        <v>204</v>
      </c>
      <c r="D22" t="s">
        <v>203</v>
      </c>
      <c r="F22" t="s">
        <v>207</v>
      </c>
      <c r="J22" t="str">
        <f>C22</f>
        <v>t</v>
      </c>
      <c r="K22" t="str">
        <f>D22</f>
        <v>CF</v>
      </c>
      <c r="L22" t="s">
        <v>208</v>
      </c>
      <c r="N22" t="s">
        <v>207</v>
      </c>
      <c r="O22" t="s">
        <v>206</v>
      </c>
    </row>
    <row r="23" spans="2:15">
      <c r="C23">
        <v>0</v>
      </c>
      <c r="D23">
        <v>-20</v>
      </c>
      <c r="F23" s="125">
        <f>IRR(D23:D30)</f>
        <v>7.9400961391768332E-2</v>
      </c>
      <c r="J23">
        <f>C23</f>
        <v>0</v>
      </c>
      <c r="K23">
        <f>D23</f>
        <v>-20</v>
      </c>
      <c r="L23" s="123">
        <f>K23/(1+$N$23)^J23</f>
        <v>-20</v>
      </c>
      <c r="N23" s="125">
        <v>7.9400566919604024E-2</v>
      </c>
      <c r="O23" s="123">
        <f>SUM(L23:L30)</f>
        <v>3.3456572655410355E-5</v>
      </c>
    </row>
    <row r="24" spans="2:15">
      <c r="C24">
        <f>C23+1</f>
        <v>1</v>
      </c>
      <c r="D24">
        <f>_xlfn.XLOOKUP(C24,$A$4:$A$6,$B$4:$B$6,0)</f>
        <v>7</v>
      </c>
      <c r="J24">
        <f>C24</f>
        <v>1</v>
      </c>
      <c r="K24">
        <f>D24</f>
        <v>7</v>
      </c>
      <c r="L24" s="123">
        <f>K24/(1+$N$23)^J24</f>
        <v>6.4850809000189953</v>
      </c>
    </row>
    <row r="25" spans="2:15">
      <c r="C25">
        <f>C24+1</f>
        <v>2</v>
      </c>
      <c r="D25">
        <f>_xlfn.XLOOKUP(C25,$A$4:$A$6,$B$4:$B$6,0)</f>
        <v>0</v>
      </c>
      <c r="J25">
        <f>C25</f>
        <v>2</v>
      </c>
      <c r="K25">
        <f>D25</f>
        <v>0</v>
      </c>
      <c r="L25" s="123">
        <f>K25/(1+$N$23)^J25</f>
        <v>0</v>
      </c>
    </row>
    <row r="26" spans="2:15">
      <c r="C26">
        <f>C25+1</f>
        <v>3</v>
      </c>
      <c r="D26">
        <f>_xlfn.XLOOKUP(C26,$A$4:$A$6,$B$4:$B$6,0)</f>
        <v>3</v>
      </c>
      <c r="J26">
        <f>C26</f>
        <v>3</v>
      </c>
      <c r="K26">
        <f>D26</f>
        <v>3</v>
      </c>
      <c r="L26" s="123">
        <f>K26/(1+$N$23)^J26</f>
        <v>2.3854665398644368</v>
      </c>
    </row>
    <row r="27" spans="2:15">
      <c r="C27">
        <f>C26+1</f>
        <v>4</v>
      </c>
      <c r="D27">
        <f>_xlfn.XLOOKUP(C27,$A$4:$A$6,$B$4:$B$6,0)</f>
        <v>0</v>
      </c>
      <c r="J27">
        <f>C27</f>
        <v>4</v>
      </c>
      <c r="K27">
        <f>D27</f>
        <v>0</v>
      </c>
      <c r="L27" s="123">
        <f>K27/(1+$N$23)^J27</f>
        <v>0</v>
      </c>
    </row>
    <row r="28" spans="2:15">
      <c r="C28">
        <f>C27+1</f>
        <v>5</v>
      </c>
      <c r="D28">
        <f>_xlfn.XLOOKUP(C28,$A$4:$A$6,$B$4:$B$6,0)</f>
        <v>0</v>
      </c>
      <c r="J28">
        <f>C28</f>
        <v>5</v>
      </c>
      <c r="K28">
        <f>D28</f>
        <v>0</v>
      </c>
      <c r="L28" s="123">
        <f>K28/(1+$N$23)^J28</f>
        <v>0</v>
      </c>
    </row>
    <row r="29" spans="2:15">
      <c r="C29">
        <f>C28+1</f>
        <v>6</v>
      </c>
      <c r="D29">
        <f>_xlfn.XLOOKUP(C29,$A$4:$A$6,$B$4:$B$6,0)</f>
        <v>0</v>
      </c>
      <c r="J29">
        <f>C29</f>
        <v>6</v>
      </c>
      <c r="K29">
        <f>D29</f>
        <v>0</v>
      </c>
      <c r="L29" s="123">
        <f>K29/(1+$N$23)^J29</f>
        <v>0</v>
      </c>
    </row>
    <row r="30" spans="2:15">
      <c r="C30">
        <f>C29+1</f>
        <v>7</v>
      </c>
      <c r="D30">
        <f>_xlfn.XLOOKUP(C30,$A$4:$A$6,$B$4:$B$6,0)</f>
        <v>19</v>
      </c>
      <c r="J30">
        <f>C30</f>
        <v>7</v>
      </c>
      <c r="K30">
        <f>D30</f>
        <v>19</v>
      </c>
      <c r="L30" s="123">
        <f>K30/(1+$N$23)^J30</f>
        <v>11.129486016689222</v>
      </c>
    </row>
    <row r="31" spans="2:15">
      <c r="C31" s="124"/>
    </row>
    <row r="32" spans="2:15">
      <c r="B32" t="s">
        <v>205</v>
      </c>
    </row>
    <row r="33" spans="2:6">
      <c r="C33" t="s">
        <v>204</v>
      </c>
      <c r="D33" t="s">
        <v>203</v>
      </c>
      <c r="E33" t="s">
        <v>202</v>
      </c>
      <c r="F33" t="s">
        <v>201</v>
      </c>
    </row>
    <row r="34" spans="2:6">
      <c r="C34">
        <f>C23</f>
        <v>0</v>
      </c>
      <c r="D34">
        <f>D23</f>
        <v>-20</v>
      </c>
      <c r="E34" s="123">
        <f>D34/(1+$F$23)^C34</f>
        <v>-20</v>
      </c>
      <c r="F34" s="123">
        <f>E34*C34</f>
        <v>0</v>
      </c>
    </row>
    <row r="35" spans="2:6">
      <c r="C35">
        <f>C24</f>
        <v>1</v>
      </c>
      <c r="D35">
        <f>D24</f>
        <v>7</v>
      </c>
      <c r="E35" s="123">
        <f>D35/(1+$F$23)^C35</f>
        <v>6.4850785300156426</v>
      </c>
      <c r="F35" s="123">
        <f>E35*C35</f>
        <v>6.4850785300156426</v>
      </c>
    </row>
    <row r="36" spans="2:6">
      <c r="C36">
        <f>C25</f>
        <v>2</v>
      </c>
      <c r="D36">
        <f>D25</f>
        <v>0</v>
      </c>
      <c r="E36" s="123">
        <f>D36/(1+$F$23)^C36</f>
        <v>0</v>
      </c>
      <c r="F36" s="123">
        <f>E36*C36</f>
        <v>0</v>
      </c>
    </row>
    <row r="37" spans="2:6">
      <c r="C37">
        <f>C26</f>
        <v>3</v>
      </c>
      <c r="D37">
        <f>D26</f>
        <v>3</v>
      </c>
      <c r="E37" s="123">
        <f>D37/(1+$F$23)^C37</f>
        <v>2.3854639245254519</v>
      </c>
      <c r="F37" s="123">
        <f>E37*C37</f>
        <v>7.156391773576356</v>
      </c>
    </row>
    <row r="38" spans="2:6">
      <c r="C38">
        <f>C27</f>
        <v>4</v>
      </c>
      <c r="D38">
        <f>D27</f>
        <v>0</v>
      </c>
      <c r="E38" s="123">
        <f>D38/(1+$F$23)^C38</f>
        <v>0</v>
      </c>
      <c r="F38" s="123">
        <f>E38*C38</f>
        <v>0</v>
      </c>
    </row>
    <row r="39" spans="2:6">
      <c r="C39">
        <f>C28</f>
        <v>5</v>
      </c>
      <c r="D39">
        <f>D28</f>
        <v>0</v>
      </c>
      <c r="E39" s="123">
        <f>D39/(1+$F$23)^C39</f>
        <v>0</v>
      </c>
      <c r="F39" s="123">
        <f>E39*C39</f>
        <v>0</v>
      </c>
    </row>
    <row r="40" spans="2:6">
      <c r="C40">
        <f>C29</f>
        <v>6</v>
      </c>
      <c r="D40">
        <f>D29</f>
        <v>0</v>
      </c>
      <c r="E40" s="123">
        <f>D40/(1+$F$23)^C40</f>
        <v>0</v>
      </c>
      <c r="F40" s="123">
        <f>E40*C40</f>
        <v>0</v>
      </c>
    </row>
    <row r="41" spans="2:6">
      <c r="C41">
        <f>C30</f>
        <v>7</v>
      </c>
      <c r="D41">
        <f>D30</f>
        <v>19</v>
      </c>
      <c r="E41" s="123">
        <f>D41/(1+$F$23)^C41</f>
        <v>11.129457545458923</v>
      </c>
      <c r="F41" s="123">
        <f>E41*C41</f>
        <v>77.906202818212464</v>
      </c>
    </row>
    <row r="43" spans="2:6">
      <c r="B43" t="s">
        <v>200</v>
      </c>
    </row>
    <row r="44" spans="2:6">
      <c r="C44" t="s">
        <v>199</v>
      </c>
    </row>
    <row r="45" spans="2:6">
      <c r="D45" t="s">
        <v>198</v>
      </c>
      <c r="E45" s="123"/>
    </row>
    <row r="46" spans="2:6">
      <c r="C46" t="s">
        <v>197</v>
      </c>
      <c r="F46" s="123">
        <f>SUM(F34:F41)/-D23/(1+F23)</f>
        <v>4.2406703531078875</v>
      </c>
    </row>
  </sheetData>
  <mergeCells count="2">
    <mergeCell ref="A12:E12"/>
    <mergeCell ref="A16:E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7089-ACF5-4414-9555-20663C928545}">
  <dimension ref="A1:I89"/>
  <sheetViews>
    <sheetView tabSelected="1" topLeftCell="A16" zoomScale="171" zoomScaleNormal="171" workbookViewId="0">
      <selection activeCell="A16" sqref="A16"/>
    </sheetView>
  </sheetViews>
  <sheetFormatPr defaultColWidth="10.09765625" defaultRowHeight="14.4"/>
  <cols>
    <col min="1" max="1" width="12.59765625" style="129" customWidth="1"/>
    <col min="2" max="2" width="23.8984375" style="129" customWidth="1"/>
    <col min="3" max="6" width="12.59765625" style="129" customWidth="1"/>
    <col min="7" max="16384" width="10.09765625" style="129"/>
  </cols>
  <sheetData>
    <row r="1" spans="1:3" ht="14.1" customHeight="1">
      <c r="A1" s="129" t="s">
        <v>196</v>
      </c>
    </row>
    <row r="2" spans="1:3" ht="14.1" customHeight="1"/>
    <row r="3" spans="1:3" ht="14.1" customHeight="1">
      <c r="A3" s="150" t="s">
        <v>266</v>
      </c>
    </row>
    <row r="4" spans="1:3" ht="14.1" customHeight="1">
      <c r="A4" s="150" t="s">
        <v>265</v>
      </c>
    </row>
    <row r="5" spans="1:3" ht="14.1" customHeight="1">
      <c r="A5" s="150" t="s">
        <v>264</v>
      </c>
    </row>
    <row r="6" spans="1:3" ht="14.1" customHeight="1">
      <c r="A6" s="150" t="s">
        <v>263</v>
      </c>
    </row>
    <row r="7" spans="1:3" ht="14.1" customHeight="1">
      <c r="A7" s="150"/>
    </row>
    <row r="8" spans="1:3">
      <c r="B8" s="160" t="s">
        <v>262</v>
      </c>
      <c r="C8" s="159" t="s">
        <v>88</v>
      </c>
    </row>
    <row r="9" spans="1:3">
      <c r="B9" s="158" t="s">
        <v>261</v>
      </c>
      <c r="C9" s="157">
        <v>100</v>
      </c>
    </row>
    <row r="10" spans="1:3">
      <c r="B10" s="155" t="s">
        <v>260</v>
      </c>
      <c r="C10" s="156">
        <v>0.06</v>
      </c>
    </row>
    <row r="11" spans="1:3">
      <c r="B11" s="155" t="s">
        <v>259</v>
      </c>
      <c r="C11" s="154">
        <v>0.25</v>
      </c>
    </row>
    <row r="12" spans="1:3">
      <c r="B12" s="153" t="s">
        <v>258</v>
      </c>
      <c r="C12" s="152">
        <v>0.03</v>
      </c>
    </row>
    <row r="13" spans="1:3" ht="14.1" customHeight="1">
      <c r="A13" s="150"/>
    </row>
    <row r="14" spans="1:3" ht="14.1" customHeight="1">
      <c r="A14" s="150" t="s">
        <v>257</v>
      </c>
    </row>
    <row r="15" spans="1:3" ht="14.1" customHeight="1">
      <c r="A15" s="150"/>
    </row>
    <row r="16" spans="1:3" ht="231.9" customHeight="1"/>
    <row r="17" spans="1:9" ht="14.1" customHeight="1"/>
    <row r="18" spans="1:9">
      <c r="A18" s="150" t="s">
        <v>256</v>
      </c>
    </row>
    <row r="19" spans="1:9">
      <c r="A19" s="151" t="s">
        <v>255</v>
      </c>
    </row>
    <row r="20" spans="1:9">
      <c r="I20" s="150"/>
    </row>
    <row r="21" spans="1:9">
      <c r="A21" s="139" t="s">
        <v>0</v>
      </c>
      <c r="B21" s="138"/>
      <c r="C21" s="138"/>
      <c r="D21" s="138"/>
      <c r="E21" s="138"/>
    </row>
    <row r="22" spans="1:9">
      <c r="A22" s="129" t="s">
        <v>254</v>
      </c>
      <c r="C22" s="142">
        <f>F34-F35</f>
        <v>1.6537950574618527</v>
      </c>
      <c r="D22" s="129" t="s">
        <v>253</v>
      </c>
    </row>
    <row r="23" spans="1:9">
      <c r="C23" s="141"/>
    </row>
    <row r="25" spans="1:9">
      <c r="A25" s="139" t="s">
        <v>1</v>
      </c>
      <c r="B25" s="138"/>
      <c r="C25" s="138"/>
      <c r="D25" s="138"/>
      <c r="E25" s="138"/>
    </row>
    <row r="26" spans="1:9">
      <c r="A26" s="137" t="s">
        <v>252</v>
      </c>
      <c r="B26" s="136"/>
    </row>
    <row r="27" spans="1:9">
      <c r="A27" s="137" t="s">
        <v>234</v>
      </c>
      <c r="B27" s="136"/>
    </row>
    <row r="28" spans="1:9">
      <c r="A28" s="137" t="s">
        <v>233</v>
      </c>
      <c r="B28" s="136"/>
    </row>
    <row r="29" spans="1:9">
      <c r="A29" s="137" t="s">
        <v>232</v>
      </c>
      <c r="B29" s="136"/>
    </row>
    <row r="30" spans="1:9">
      <c r="A30" s="129" t="s">
        <v>231</v>
      </c>
      <c r="B30" s="135"/>
    </row>
    <row r="31" spans="1:9">
      <c r="B31" s="135"/>
    </row>
    <row r="32" spans="1:9">
      <c r="B32" s="132" t="s">
        <v>230</v>
      </c>
      <c r="C32" s="131" t="s">
        <v>229</v>
      </c>
      <c r="D32" s="131" t="s">
        <v>228</v>
      </c>
      <c r="E32" s="131" t="s">
        <v>227</v>
      </c>
      <c r="F32" s="131" t="s">
        <v>226</v>
      </c>
    </row>
    <row r="33" spans="1:6">
      <c r="A33" s="129" t="s">
        <v>225</v>
      </c>
      <c r="B33" s="132"/>
      <c r="C33" s="131"/>
      <c r="D33" s="131"/>
      <c r="E33" s="131"/>
      <c r="F33" s="134">
        <f>C9</f>
        <v>100</v>
      </c>
    </row>
    <row r="34" spans="1:6">
      <c r="A34" s="129" t="s">
        <v>224</v>
      </c>
      <c r="B34" s="132">
        <v>1</v>
      </c>
      <c r="C34" s="131">
        <v>90</v>
      </c>
      <c r="D34" s="133">
        <f>(LN($C$9/C34) + ($C$12 + POWER($C$11,2)/2)*B34)/($C$11 * SQRT(B34))</f>
        <v>0.66644206263130545</v>
      </c>
      <c r="E34" s="133">
        <f>D34-$C$11*SQRT(B34)</f>
        <v>0.41644206263130545</v>
      </c>
      <c r="F34" s="132">
        <f>C34*EXP(-B34*$C$12)*_xlfn.NORM.DIST(-E34,0,1,TRUE) - $C$9*_xlfn.NORM.DIST(-D34,0,1,TRUE)</f>
        <v>4.3119738005692412</v>
      </c>
    </row>
    <row r="35" spans="1:6">
      <c r="A35" s="129" t="s">
        <v>223</v>
      </c>
      <c r="B35" s="132">
        <v>1</v>
      </c>
      <c r="C35" s="131">
        <v>130</v>
      </c>
      <c r="D35" s="133">
        <f>(LN($C$9/C35) + ($C$12 + POWER($C$11,2)/2)*B35)/($C$11 * SQRT(B35))</f>
        <v>-0.80445705786996402</v>
      </c>
      <c r="E35" s="133">
        <f>D35-$C$11*SQRT(B35)</f>
        <v>-1.0544570578699641</v>
      </c>
      <c r="F35" s="132">
        <f>-C35*EXP(-B35*$C$12)*_xlfn.NORM.DIST(E35,0,1,TRUE) + $C$9*_xlfn.NORM.DIST(D35,0,1,TRUE)</f>
        <v>2.6581787431073884</v>
      </c>
    </row>
    <row r="37" spans="1:6">
      <c r="A37" s="147" t="s">
        <v>251</v>
      </c>
      <c r="B37" s="148"/>
    </row>
    <row r="38" spans="1:6">
      <c r="A38" s="149" t="s">
        <v>250</v>
      </c>
      <c r="B38" s="148"/>
    </row>
    <row r="40" spans="1:6">
      <c r="A40" s="139" t="s">
        <v>0</v>
      </c>
      <c r="B40" s="138"/>
      <c r="C40" s="138"/>
      <c r="D40" s="138"/>
      <c r="E40" s="138"/>
    </row>
    <row r="41" spans="1:6">
      <c r="A41" s="129" t="s">
        <v>249</v>
      </c>
      <c r="C41" s="145">
        <f>B53</f>
        <v>29.616646499137445</v>
      </c>
      <c r="D41" s="140"/>
    </row>
    <row r="42" spans="1:6">
      <c r="C42" s="144"/>
      <c r="D42" s="140"/>
    </row>
    <row r="44" spans="1:6">
      <c r="A44" s="139" t="s">
        <v>1</v>
      </c>
      <c r="B44" s="138"/>
      <c r="C44" s="138"/>
      <c r="D44" s="138"/>
      <c r="E44" s="138"/>
    </row>
    <row r="45" spans="1:6">
      <c r="B45" s="135" t="s">
        <v>248</v>
      </c>
    </row>
    <row r="46" spans="1:6">
      <c r="B46" s="135" t="s">
        <v>247</v>
      </c>
    </row>
    <row r="47" spans="1:6">
      <c r="B47" s="135">
        <f>_xlfn.NORM.INV(0.05,C10,C11)</f>
        <v>-0.35121340673786816</v>
      </c>
    </row>
    <row r="48" spans="1:6">
      <c r="B48" s="135" t="s">
        <v>246</v>
      </c>
    </row>
    <row r="49" spans="1:5">
      <c r="B49" s="135">
        <f>EXP(B47)</f>
        <v>0.70383353500862555</v>
      </c>
    </row>
    <row r="50" spans="1:5">
      <c r="B50" s="135" t="s">
        <v>245</v>
      </c>
    </row>
    <row r="51" spans="1:5">
      <c r="B51" s="135">
        <f>B49*C9</f>
        <v>70.383353500862555</v>
      </c>
      <c r="C51" s="135"/>
    </row>
    <row r="52" spans="1:5">
      <c r="B52" s="129" t="s">
        <v>244</v>
      </c>
      <c r="C52" s="135"/>
    </row>
    <row r="53" spans="1:5">
      <c r="B53" s="135">
        <f>C9-B51</f>
        <v>29.616646499137445</v>
      </c>
    </row>
    <row r="54" spans="1:5">
      <c r="A54" s="147"/>
      <c r="B54" s="146"/>
    </row>
    <row r="55" spans="1:5">
      <c r="A55" s="129" t="s">
        <v>243</v>
      </c>
    </row>
    <row r="57" spans="1:5">
      <c r="A57" s="139" t="s">
        <v>0</v>
      </c>
      <c r="B57" s="138"/>
      <c r="C57" s="138"/>
      <c r="D57" s="138"/>
      <c r="E57" s="138"/>
    </row>
    <row r="58" spans="1:5">
      <c r="A58" s="129" t="s">
        <v>242</v>
      </c>
      <c r="C58" s="145">
        <v>10</v>
      </c>
      <c r="D58" s="140"/>
    </row>
    <row r="59" spans="1:5">
      <c r="C59" s="144"/>
      <c r="D59" s="140"/>
    </row>
    <row r="61" spans="1:5">
      <c r="A61" s="139" t="s">
        <v>1</v>
      </c>
      <c r="B61" s="138"/>
      <c r="C61" s="138"/>
      <c r="D61" s="138"/>
      <c r="E61" s="138"/>
    </row>
    <row r="62" spans="1:5">
      <c r="B62" s="135"/>
    </row>
    <row r="63" spans="1:5">
      <c r="B63" s="135" t="s">
        <v>241</v>
      </c>
    </row>
    <row r="64" spans="1:5">
      <c r="B64" s="135" t="s">
        <v>240</v>
      </c>
    </row>
    <row r="65" spans="1:5">
      <c r="B65" s="135" t="s">
        <v>239</v>
      </c>
    </row>
    <row r="66" spans="1:5">
      <c r="B66" s="135"/>
    </row>
    <row r="67" spans="1:5">
      <c r="C67" s="135"/>
    </row>
    <row r="68" spans="1:5">
      <c r="B68" s="135"/>
      <c r="C68" s="135"/>
    </row>
    <row r="69" spans="1:5">
      <c r="C69" s="135"/>
    </row>
    <row r="71" spans="1:5">
      <c r="A71" s="143" t="s">
        <v>238</v>
      </c>
    </row>
    <row r="72" spans="1:5">
      <c r="A72" s="143" t="s">
        <v>237</v>
      </c>
    </row>
    <row r="73" spans="1:5">
      <c r="A73" s="143"/>
    </row>
    <row r="74" spans="1:5">
      <c r="A74" s="139" t="s">
        <v>0</v>
      </c>
      <c r="B74" s="138"/>
      <c r="C74" s="138"/>
      <c r="D74" s="138"/>
      <c r="E74" s="138"/>
    </row>
    <row r="75" spans="1:5">
      <c r="A75" s="129" t="s">
        <v>236</v>
      </c>
      <c r="C75" s="142">
        <f>C87</f>
        <v>120.68397583786967</v>
      </c>
      <c r="D75" s="140"/>
    </row>
    <row r="76" spans="1:5">
      <c r="C76" s="141"/>
      <c r="D76" s="140"/>
    </row>
    <row r="78" spans="1:5">
      <c r="A78" s="139" t="s">
        <v>1</v>
      </c>
      <c r="B78" s="138"/>
      <c r="C78" s="138"/>
      <c r="D78" s="138"/>
      <c r="E78" s="138"/>
    </row>
    <row r="79" spans="1:5">
      <c r="A79" s="137" t="s">
        <v>235</v>
      </c>
      <c r="B79" s="136"/>
    </row>
    <row r="80" spans="1:5">
      <c r="A80" s="137" t="s">
        <v>234</v>
      </c>
      <c r="B80" s="136"/>
    </row>
    <row r="81" spans="1:6">
      <c r="A81" s="137" t="s">
        <v>233</v>
      </c>
      <c r="B81" s="136"/>
    </row>
    <row r="82" spans="1:6">
      <c r="A82" s="137" t="s">
        <v>232</v>
      </c>
      <c r="B82" s="136"/>
    </row>
    <row r="83" spans="1:6">
      <c r="A83" s="129" t="s">
        <v>231</v>
      </c>
      <c r="B83" s="135"/>
    </row>
    <row r="84" spans="1:6">
      <c r="B84" s="132" t="s">
        <v>230</v>
      </c>
      <c r="C84" s="131" t="s">
        <v>229</v>
      </c>
      <c r="D84" s="131" t="s">
        <v>228</v>
      </c>
      <c r="E84" s="131" t="s">
        <v>227</v>
      </c>
      <c r="F84" s="131" t="s">
        <v>226</v>
      </c>
    </row>
    <row r="85" spans="1:6">
      <c r="A85" s="129" t="s">
        <v>225</v>
      </c>
      <c r="B85" s="132"/>
      <c r="C85" s="131"/>
      <c r="D85" s="131"/>
      <c r="E85" s="131"/>
      <c r="F85" s="134">
        <f>C9</f>
        <v>100</v>
      </c>
    </row>
    <row r="86" spans="1:6">
      <c r="A86" s="129" t="s">
        <v>224</v>
      </c>
      <c r="B86" s="132">
        <v>1</v>
      </c>
      <c r="C86" s="131">
        <v>90</v>
      </c>
      <c r="D86" s="133">
        <f>(LN($C$9/C86) + ($C$12 + POWER($C$11,2)/2)*B86)/($C$11 * SQRT(B86))</f>
        <v>0.66644206263130545</v>
      </c>
      <c r="E86" s="133">
        <f>D86-$C$11*SQRT(B86)</f>
        <v>0.41644206263130545</v>
      </c>
      <c r="F86" s="132">
        <f>C86*EXP(-B86*$C$12)*_xlfn.NORM.DIST(-E86,0,1,TRUE) - $C$9*_xlfn.NORM.DIST(-D86,0,1,TRUE)</f>
        <v>4.3119738005692412</v>
      </c>
    </row>
    <row r="87" spans="1:6">
      <c r="A87" s="129" t="s">
        <v>223</v>
      </c>
      <c r="B87" s="132">
        <v>1</v>
      </c>
      <c r="C87" s="132">
        <v>120.68397583786967</v>
      </c>
      <c r="D87" s="133">
        <f>(LN($C$9/C87) + ($C$12 + POWER($C$11,2)/2)*B87)/($C$11 * SQRT(B87))</f>
        <v>-0.50702069220937018</v>
      </c>
      <c r="E87" s="133">
        <f>D87-$C$11*SQRT(B87)</f>
        <v>-0.75702069220937018</v>
      </c>
      <c r="F87" s="132">
        <f>-C87*EXP(-B87*$C$12)*_xlfn.NORM.DIST(E87,0,1,TRUE) + $C$9*_xlfn.NORM.DIST(D87,0,1,TRUE)</f>
        <v>4.312003969124067</v>
      </c>
    </row>
    <row r="88" spans="1:6">
      <c r="B88" s="131"/>
      <c r="C88" s="131"/>
      <c r="D88" s="131"/>
      <c r="E88" s="131" t="s">
        <v>222</v>
      </c>
      <c r="F88" s="130">
        <f>F85+F86-F87</f>
        <v>99.999969831445171</v>
      </c>
    </row>
    <row r="89" spans="1:6">
      <c r="A89" s="129" t="s">
        <v>221</v>
      </c>
    </row>
  </sheetData>
  <mergeCells count="8">
    <mergeCell ref="A74:E74"/>
    <mergeCell ref="A78:E78"/>
    <mergeCell ref="A21:E21"/>
    <mergeCell ref="A25:E25"/>
    <mergeCell ref="A40:E40"/>
    <mergeCell ref="A44:E44"/>
    <mergeCell ref="A57:E57"/>
    <mergeCell ref="A61:E6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65b3ef4f2db57c8fd06e10d67e29a91c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368f79d5404671231dfb7196e18a5373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C67DAD-BD6B-4490-91AA-5D4796CA4B0D}"/>
</file>

<file path=customXml/itemProps2.xml><?xml version="1.0" encoding="utf-8"?>
<ds:datastoreItem xmlns:ds="http://schemas.openxmlformats.org/officeDocument/2006/customXml" ds:itemID="{D0D98D80-46CB-4B27-BF86-0AD31311EB5D}"/>
</file>

<file path=customXml/itemProps3.xml><?xml version="1.0" encoding="utf-8"?>
<ds:datastoreItem xmlns:ds="http://schemas.openxmlformats.org/officeDocument/2006/customXml" ds:itemID="{7BE7556C-010C-4F0E-8353-FA613314D31B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0326-Q2</vt:lpstr>
      <vt:lpstr>0326-Q3</vt:lpstr>
      <vt:lpstr>4a &amp; c</vt:lpstr>
      <vt:lpstr>4d</vt:lpstr>
      <vt:lpstr>Q7 model 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2020-08-11T00:09:30Z</dcterms:created>
  <dcterms:modified xsi:type="dcterms:W3CDTF">2026-04-27T15:54:01Z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MSIP_Label_90c2fedb-0da6-4717-8531-d16a1b9930f4_Enabled">
    <vt:lpwstr>true</vt:lpwstr>
  </property>
  <property fmtid="{D5CDD505-2E9C-101B-9397-08002B2CF9AE}" pid="4" name="MSIP_Label_90c2fedb-0da6-4717-8531-d16a1b9930f4_SetDate">
    <vt:lpwstr>2021-09-26T04:23:15Z</vt:lpwstr>
  </property>
  <property fmtid="{D5CDD505-2E9C-101B-9397-08002B2CF9AE}" pid="5" name="MSIP_Label_90c2fedb-0da6-4717-8531-d16a1b9930f4_Method">
    <vt:lpwstr>Standard</vt:lpwstr>
  </property>
  <property fmtid="{D5CDD505-2E9C-101B-9397-08002B2CF9AE}" pid="6" name="MSIP_Label_90c2fedb-0da6-4717-8531-d16a1b9930f4_Name">
    <vt:lpwstr>90c2fedb-0da6-4717-8531-d16a1b9930f4</vt:lpwstr>
  </property>
  <property fmtid="{D5CDD505-2E9C-101B-9397-08002B2CF9AE}" pid="7" name="MSIP_Label_90c2fedb-0da6-4717-8531-d16a1b9930f4_SiteId">
    <vt:lpwstr>45597f60-6e37-4be7-acfb-4c9e23b261ea</vt:lpwstr>
  </property>
  <property fmtid="{D5CDD505-2E9C-101B-9397-08002B2CF9AE}" pid="8" name="MSIP_Label_90c2fedb-0da6-4717-8531-d16a1b9930f4_ContentBits">
    <vt:lpwstr>0</vt:lpwstr>
  </property>
  <property fmtid="{D5CDD505-2E9C-101B-9397-08002B2CF9AE}" pid="9" name="Sensitivity">
    <vt:lpwstr>Internal</vt:lpwstr>
  </property>
  <property fmtid="{D5CDD505-2E9C-101B-9397-08002B2CF9AE}" pid="11" name="_NewReviewCycle">
    <vt:lpwstr/>
  </property>
  <property fmtid="{D5CDD505-2E9C-101B-9397-08002B2CF9AE}" pid="12" name="ContentTypeId">
    <vt:lpwstr>0x010100A13D16CE4023BB4BB4110DFC2802C897</vt:lpwstr>
  </property>
</Properties>
</file>