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style2.xml" ContentType="application/vnd.ms-office.chartstyle+xml"/>
  <Override PartName="/xl/drawings/drawing2.xml" ContentType="application/vnd.openxmlformats-officedocument.drawing+xml"/>
  <Override PartName="/xl/charts/chart2.xml" ContentType="application/vnd.openxmlformats-officedocument.drawingml.chart+xml"/>
  <Override PartName="/xl/charts/colors2.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ocietyofactuaries.sharepoint.com/sites/ALLSTAFF-Public/Shared Documents/Public/Aleshia/March 2026 solutions/"/>
    </mc:Choice>
  </mc:AlternateContent>
  <xr:revisionPtr revIDLastSave="0" documentId="8_{7F7A87D8-6657-4829-AC2A-63081037EB16}" xr6:coauthVersionLast="47" xr6:coauthVersionMax="47" xr10:uidLastSave="{00000000-0000-0000-0000-000000000000}"/>
  <bookViews>
    <workbookView xWindow="29925" yWindow="1125" windowWidth="21600" windowHeight="11295" firstSheet="2" activeTab="4" xr2:uid="{CFF23603-0ABE-2340-93C5-DAD00E0F284E}"/>
  </bookViews>
  <sheets>
    <sheet name="Q1 Part B" sheetId="2" r:id="rId1"/>
    <sheet name="Q3 Solution" sheetId="1" r:id="rId2"/>
    <sheet name="Q4 Solution" sheetId="3" r:id="rId3"/>
    <sheet name="Q5" sheetId="4" r:id="rId4"/>
    <sheet name="Q6" sheetId="5" r:id="rId5"/>
  </sheets>
  <externalReferences>
    <externalReference r:id="rId6"/>
    <externalReference r:id="rId7"/>
    <externalReference r:id="rId8"/>
    <externalReference r:id="rId9"/>
  </externalReferences>
  <definedNames>
    <definedName name="CoinsLimit" localSheetId="4">[1]CalculationTables_D!#REF!</definedName>
    <definedName name="CoinsLimit">[2]CalculationTables_D!#REF!</definedName>
    <definedName name="Coinsurance" localSheetId="4">[1]CalculationTables_D!$D$3</definedName>
    <definedName name="Coinsurance">[2]CalculationTables_D!$D$3</definedName>
    <definedName name="Deductible" localSheetId="4">[1]CalculationTables_D!$D$2</definedName>
    <definedName name="Deductible">[2]CalculationTables_D!$D$2</definedName>
    <definedName name="ExpClaims50" localSheetId="4">[1]Solution2!#REF!</definedName>
    <definedName name="ExpClaims50">[2]Solution2!#REF!</definedName>
    <definedName name="MOOP" localSheetId="4">[1]CalculationTables_D!$D$4</definedName>
    <definedName name="MOOP">[2]CalculationTables_D!$D$4</definedName>
    <definedName name="NumEmps">'[3]25000 Specific Deductible'!$D$6</definedName>
    <definedName name="Spec100K">'[4]100,000'!$I$8</definedName>
    <definedName name="Spec10K" localSheetId="4">[1]CalculationTables_D!#REF!</definedName>
    <definedName name="Spec10K">[2]CalculationTables_D!#REF!</definedName>
    <definedName name="Spec25K">'[4]25,000'!$I$8</definedName>
    <definedName name="SpecDeductible" localSheetId="4">[1]CalculationTables_D!#REF!</definedName>
    <definedName name="SpecDeductible">[2]CalculationTables_D!#REF!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D28" i="5"/>
  <c r="E39" i="5"/>
  <c r="F39" i="5"/>
  <c r="D43" i="5" s="1"/>
  <c r="E40" i="5"/>
  <c r="F40" i="5"/>
  <c r="D44" i="5" s="1"/>
  <c r="D45" i="5"/>
  <c r="F68" i="5"/>
  <c r="G68" i="5"/>
  <c r="C77" i="5" s="1"/>
  <c r="F69" i="5"/>
  <c r="G69" i="5"/>
  <c r="F70" i="5"/>
  <c r="G70" i="5"/>
  <c r="F71" i="5"/>
  <c r="G71" i="5"/>
  <c r="F72" i="5"/>
  <c r="G72" i="5"/>
  <c r="F73" i="5"/>
  <c r="G73" i="5"/>
  <c r="F74" i="5"/>
  <c r="G74" i="5"/>
  <c r="B75" i="5"/>
  <c r="D75" i="5"/>
  <c r="F75" i="5"/>
  <c r="G75" i="5"/>
  <c r="C78" i="5"/>
  <c r="C80" i="5" l="1"/>
  <c r="C81" i="5"/>
  <c r="D47" i="5"/>
  <c r="D39" i="4" l="1"/>
  <c r="F39" i="4"/>
  <c r="G39" i="4"/>
  <c r="D40" i="4"/>
  <c r="F40" i="4"/>
  <c r="G40" i="4"/>
  <c r="D41" i="4"/>
  <c r="F41" i="4"/>
  <c r="G41" i="4"/>
  <c r="D42" i="4"/>
  <c r="F42" i="4"/>
  <c r="G42" i="4"/>
  <c r="I42" i="4"/>
  <c r="I44" i="4" s="1"/>
  <c r="D43" i="4"/>
  <c r="F43" i="4"/>
  <c r="G43" i="4"/>
  <c r="I43" i="4"/>
  <c r="D44" i="4"/>
  <c r="F44" i="4"/>
  <c r="G44" i="4"/>
  <c r="D45" i="4"/>
  <c r="F45" i="4"/>
  <c r="G45" i="4"/>
  <c r="D46" i="4"/>
  <c r="F46" i="4"/>
  <c r="G46" i="4"/>
  <c r="D47" i="4"/>
  <c r="F47" i="4"/>
  <c r="G47" i="4"/>
  <c r="D48" i="4"/>
  <c r="F48" i="4"/>
  <c r="G48" i="4"/>
  <c r="D49" i="4"/>
  <c r="F49" i="4"/>
  <c r="G49" i="4"/>
  <c r="D50" i="4"/>
  <c r="F50" i="4"/>
  <c r="G50" i="4"/>
  <c r="D99" i="4"/>
  <c r="F99" i="4"/>
  <c r="B100" i="4"/>
  <c r="D100" i="4" s="1"/>
  <c r="C57" i="3"/>
  <c r="E57" i="3" s="1"/>
  <c r="C58" i="3"/>
  <c r="E58" i="3" s="1"/>
  <c r="F58" i="3" s="1"/>
  <c r="D58" i="3"/>
  <c r="C59" i="3"/>
  <c r="E59" i="3" s="1"/>
  <c r="F59" i="3" s="1"/>
  <c r="D59" i="3"/>
  <c r="F68" i="3"/>
  <c r="F70" i="3"/>
  <c r="F71" i="3"/>
  <c r="F72" i="3"/>
  <c r="F73" i="3"/>
  <c r="C79" i="3"/>
  <c r="E79" i="3" s="1"/>
  <c r="C80" i="3"/>
  <c r="E80" i="3" s="1"/>
  <c r="F80" i="3" s="1"/>
  <c r="D80" i="3"/>
  <c r="C81" i="3"/>
  <c r="E81" i="3" s="1"/>
  <c r="F81" i="3" s="1"/>
  <c r="D81" i="3"/>
  <c r="C82" i="3"/>
  <c r="E82" i="3" s="1"/>
  <c r="F82" i="3" s="1"/>
  <c r="D82" i="3"/>
  <c r="B101" i="4" l="1"/>
  <c r="F100" i="4"/>
  <c r="E83" i="3"/>
  <c r="E60" i="3"/>
  <c r="F60" i="3" s="1"/>
  <c r="F57" i="3" s="1"/>
  <c r="D57" i="3" s="1"/>
  <c r="D52" i="3" s="1"/>
  <c r="D74" i="3" s="1"/>
  <c r="D79" i="3" s="1"/>
  <c r="F79" i="3" s="1"/>
  <c r="F83" i="3" s="1"/>
  <c r="F84" i="3" s="1"/>
  <c r="C60" i="3"/>
  <c r="C83" i="3"/>
  <c r="C23" i="2"/>
  <c r="D23" i="2"/>
  <c r="E23" i="2"/>
  <c r="F23" i="2"/>
  <c r="C24" i="2"/>
  <c r="D24" i="2"/>
  <c r="E24" i="2"/>
  <c r="F24" i="2"/>
  <c r="C47" i="2"/>
  <c r="C110" i="2" s="1"/>
  <c r="D47" i="2"/>
  <c r="D110" i="2" s="1"/>
  <c r="E47" i="2"/>
  <c r="E110" i="2" s="1"/>
  <c r="F47" i="2"/>
  <c r="F110" i="2" s="1"/>
  <c r="C48" i="2"/>
  <c r="C111" i="2" s="1"/>
  <c r="D48" i="2"/>
  <c r="D111" i="2" s="1"/>
  <c r="E48" i="2"/>
  <c r="F48" i="2"/>
  <c r="B68" i="2"/>
  <c r="C68" i="2"/>
  <c r="D68" i="2"/>
  <c r="E68" i="2"/>
  <c r="B69" i="2"/>
  <c r="C69" i="2"/>
  <c r="D69" i="2"/>
  <c r="E69" i="2"/>
  <c r="B70" i="2"/>
  <c r="C70" i="2"/>
  <c r="C72" i="2" s="1"/>
  <c r="D70" i="2"/>
  <c r="D72" i="2" s="1"/>
  <c r="E70" i="2"/>
  <c r="E72" i="2" s="1"/>
  <c r="B71" i="2"/>
  <c r="C71" i="2"/>
  <c r="C73" i="2" s="1"/>
  <c r="D71" i="2"/>
  <c r="E71" i="2"/>
  <c r="B78" i="2"/>
  <c r="C78" i="2"/>
  <c r="G78" i="2" s="1"/>
  <c r="D78" i="2"/>
  <c r="C79" i="2"/>
  <c r="G79" i="2" s="1"/>
  <c r="D79" i="2"/>
  <c r="E79" i="2"/>
  <c r="F79" i="2"/>
  <c r="C81" i="2"/>
  <c r="G81" i="2" s="1"/>
  <c r="D81" i="2"/>
  <c r="C82" i="2"/>
  <c r="D82" i="2"/>
  <c r="F82" i="2"/>
  <c r="C86" i="2"/>
  <c r="C87" i="2"/>
  <c r="B92" i="2"/>
  <c r="C92" i="2"/>
  <c r="D92" i="2"/>
  <c r="E92" i="2"/>
  <c r="C102" i="2"/>
  <c r="D102" i="2"/>
  <c r="E102" i="2"/>
  <c r="F102" i="2"/>
  <c r="C103" i="2"/>
  <c r="D103" i="2"/>
  <c r="E103" i="2"/>
  <c r="F103" i="2"/>
  <c r="C104" i="2"/>
  <c r="D104" i="2"/>
  <c r="E104" i="2"/>
  <c r="F108" i="2" s="1"/>
  <c r="F104" i="2"/>
  <c r="C105" i="2"/>
  <c r="D105" i="2"/>
  <c r="E105" i="2"/>
  <c r="F105" i="2"/>
  <c r="C106" i="2"/>
  <c r="D106" i="2"/>
  <c r="E106" i="2"/>
  <c r="F106" i="2"/>
  <c r="C107" i="2"/>
  <c r="D107" i="2"/>
  <c r="E107" i="2"/>
  <c r="F107" i="2"/>
  <c r="E111" i="2"/>
  <c r="F111" i="2"/>
  <c r="D101" i="4" l="1"/>
  <c r="F101" i="4"/>
  <c r="B102" i="4"/>
  <c r="B91" i="2"/>
  <c r="B82" i="2"/>
  <c r="D91" i="2"/>
  <c r="E82" i="2"/>
  <c r="G82" i="2" s="1"/>
  <c r="D73" i="2"/>
  <c r="B79" i="2"/>
  <c r="B80" i="2" s="1"/>
  <c r="G80" i="2" s="1"/>
  <c r="B86" i="2" s="1"/>
  <c r="D86" i="2" s="1"/>
  <c r="F93" i="2" s="1"/>
  <c r="E91" i="2"/>
  <c r="C91" i="2"/>
  <c r="E73" i="2"/>
  <c r="B81" i="2"/>
  <c r="B83" i="2" s="1"/>
  <c r="F91" i="2"/>
  <c r="F92" i="2"/>
  <c r="F112" i="2"/>
  <c r="B115" i="2" s="1"/>
  <c r="B73" i="2"/>
  <c r="B72" i="2"/>
  <c r="E134" i="1"/>
  <c r="J134" i="1" s="1"/>
  <c r="E133" i="1"/>
  <c r="N133" i="1" s="1"/>
  <c r="E132" i="1"/>
  <c r="N132" i="1" s="1"/>
  <c r="E129" i="1"/>
  <c r="N129" i="1" s="1"/>
  <c r="E128" i="1"/>
  <c r="J128" i="1" s="1"/>
  <c r="E127" i="1"/>
  <c r="J127" i="1" s="1"/>
  <c r="E125" i="1"/>
  <c r="N125" i="1" s="1"/>
  <c r="E124" i="1"/>
  <c r="N124" i="1" s="1"/>
  <c r="E123" i="1"/>
  <c r="J123" i="1" s="1"/>
  <c r="E122" i="1"/>
  <c r="J122" i="1" s="1"/>
  <c r="E118" i="1"/>
  <c r="J118" i="1" s="1"/>
  <c r="E117" i="1"/>
  <c r="N117" i="1" s="1"/>
  <c r="E116" i="1"/>
  <c r="J116" i="1" s="1"/>
  <c r="E115" i="1"/>
  <c r="J115" i="1" s="1"/>
  <c r="E114" i="1"/>
  <c r="N114" i="1" s="1"/>
  <c r="E112" i="1"/>
  <c r="N112" i="1" s="1"/>
  <c r="E111" i="1"/>
  <c r="I111" i="1" s="1"/>
  <c r="E110" i="1"/>
  <c r="J110" i="1" s="1"/>
  <c r="E109" i="1"/>
  <c r="I109" i="1" s="1"/>
  <c r="M108" i="1"/>
  <c r="N108" i="1" s="1"/>
  <c r="E108" i="1"/>
  <c r="I108" i="1" s="1"/>
  <c r="E107" i="1"/>
  <c r="N107" i="1" s="1"/>
  <c r="E96" i="1"/>
  <c r="I96" i="1" s="1"/>
  <c r="E95" i="1"/>
  <c r="J95" i="1" s="1"/>
  <c r="E94" i="1"/>
  <c r="I94" i="1" s="1"/>
  <c r="E91" i="1"/>
  <c r="I91" i="1" s="1"/>
  <c r="E90" i="1"/>
  <c r="I90" i="1" s="1"/>
  <c r="E89" i="1"/>
  <c r="I89" i="1" s="1"/>
  <c r="E87" i="1"/>
  <c r="J87" i="1" s="1"/>
  <c r="E86" i="1"/>
  <c r="J86" i="1" s="1"/>
  <c r="E85" i="1"/>
  <c r="J85" i="1" s="1"/>
  <c r="J84" i="1"/>
  <c r="I84" i="1"/>
  <c r="E84" i="1"/>
  <c r="E80" i="1"/>
  <c r="J80" i="1" s="1"/>
  <c r="E79" i="1"/>
  <c r="J79" i="1" s="1"/>
  <c r="E78" i="1"/>
  <c r="I78" i="1" s="1"/>
  <c r="E77" i="1"/>
  <c r="J77" i="1" s="1"/>
  <c r="J76" i="1"/>
  <c r="I76" i="1"/>
  <c r="K76" i="1" s="1"/>
  <c r="E76" i="1"/>
  <c r="E74" i="1"/>
  <c r="J74" i="1" s="1"/>
  <c r="E73" i="1"/>
  <c r="J73" i="1" s="1"/>
  <c r="J72" i="1"/>
  <c r="I72" i="1"/>
  <c r="E72" i="1"/>
  <c r="E71" i="1"/>
  <c r="J71" i="1" s="1"/>
  <c r="E70" i="1"/>
  <c r="J70" i="1" s="1"/>
  <c r="E69" i="1"/>
  <c r="I69" i="1" s="1"/>
  <c r="F48" i="1"/>
  <c r="F55" i="1" s="1"/>
  <c r="E48" i="1"/>
  <c r="E55" i="1" s="1"/>
  <c r="D48" i="1"/>
  <c r="D55" i="1" s="1"/>
  <c r="I40" i="1"/>
  <c r="G41" i="1" s="1"/>
  <c r="E57" i="1" s="1"/>
  <c r="H40" i="1"/>
  <c r="G40" i="1"/>
  <c r="F40" i="1"/>
  <c r="G22" i="1"/>
  <c r="F25" i="1" s="1"/>
  <c r="F56" i="1" s="1"/>
  <c r="F22" i="1"/>
  <c r="E22" i="1"/>
  <c r="F12" i="1"/>
  <c r="F54" i="1" s="1"/>
  <c r="E12" i="1"/>
  <c r="E54" i="1" s="1"/>
  <c r="D12" i="1"/>
  <c r="D54" i="1" s="1"/>
  <c r="D102" i="4" l="1"/>
  <c r="F102" i="4"/>
  <c r="B103" i="4"/>
  <c r="C80" i="2"/>
  <c r="C83" i="2"/>
  <c r="G83" i="2"/>
  <c r="B87" i="2" s="1"/>
  <c r="D87" i="2" s="1"/>
  <c r="F94" i="2" s="1"/>
  <c r="E94" i="2" s="1"/>
  <c r="F98" i="2" s="1"/>
  <c r="D93" i="2"/>
  <c r="E97" i="2" s="1"/>
  <c r="C93" i="2"/>
  <c r="D97" i="2" s="1"/>
  <c r="B93" i="2"/>
  <c r="C97" i="2" s="1"/>
  <c r="E93" i="2"/>
  <c r="F97" i="2" s="1"/>
  <c r="K84" i="1"/>
  <c r="J90" i="1"/>
  <c r="K90" i="1" s="1"/>
  <c r="J108" i="1"/>
  <c r="K72" i="1"/>
  <c r="I87" i="1"/>
  <c r="K87" i="1" s="1"/>
  <c r="I95" i="1"/>
  <c r="K95" i="1" s="1"/>
  <c r="J132" i="1"/>
  <c r="J78" i="1"/>
  <c r="K78" i="1" s="1"/>
  <c r="J69" i="1"/>
  <c r="K69" i="1" s="1"/>
  <c r="K96" i="1"/>
  <c r="I133" i="1"/>
  <c r="O133" i="1" s="1"/>
  <c r="J96" i="1"/>
  <c r="J109" i="1"/>
  <c r="K109" i="1" s="1"/>
  <c r="N115" i="1"/>
  <c r="N122" i="1"/>
  <c r="N127" i="1"/>
  <c r="J133" i="1"/>
  <c r="K133" i="1" s="1"/>
  <c r="I70" i="1"/>
  <c r="K70" i="1" s="1"/>
  <c r="I79" i="1"/>
  <c r="K79" i="1" s="1"/>
  <c r="I115" i="1"/>
  <c r="I122" i="1"/>
  <c r="K122" i="1" s="1"/>
  <c r="I127" i="1"/>
  <c r="K127" i="1" s="1"/>
  <c r="I85" i="1"/>
  <c r="K85" i="1" s="1"/>
  <c r="J91" i="1"/>
  <c r="K91" i="1" s="1"/>
  <c r="I77" i="1"/>
  <c r="K77" i="1" s="1"/>
  <c r="I71" i="1"/>
  <c r="K71" i="1" s="1"/>
  <c r="I80" i="1"/>
  <c r="K80" i="1" s="1"/>
  <c r="J89" i="1"/>
  <c r="K89" i="1" s="1"/>
  <c r="I74" i="1"/>
  <c r="K74" i="1" s="1"/>
  <c r="I86" i="1"/>
  <c r="K86" i="1" s="1"/>
  <c r="J94" i="1"/>
  <c r="K94" i="1" s="1"/>
  <c r="N116" i="1"/>
  <c r="N123" i="1"/>
  <c r="N128" i="1"/>
  <c r="I73" i="1"/>
  <c r="K73" i="1" s="1"/>
  <c r="N134" i="1"/>
  <c r="O108" i="1"/>
  <c r="I107" i="1"/>
  <c r="K108" i="1"/>
  <c r="M109" i="1"/>
  <c r="I114" i="1"/>
  <c r="K115" i="1"/>
  <c r="I118" i="1"/>
  <c r="I125" i="1"/>
  <c r="I132" i="1"/>
  <c r="J107" i="1"/>
  <c r="F41" i="1"/>
  <c r="D57" i="1" s="1"/>
  <c r="I112" i="1"/>
  <c r="I117" i="1"/>
  <c r="E23" i="1"/>
  <c r="D56" i="1" s="1"/>
  <c r="J117" i="1"/>
  <c r="N118" i="1"/>
  <c r="J124" i="1"/>
  <c r="J129" i="1"/>
  <c r="F23" i="1"/>
  <c r="E56" i="1" s="1"/>
  <c r="E58" i="1" s="1"/>
  <c r="H41" i="1"/>
  <c r="F57" i="1" s="1"/>
  <c r="F58" i="1" s="1"/>
  <c r="I110" i="1"/>
  <c r="J111" i="1"/>
  <c r="K111" i="1" s="1"/>
  <c r="I116" i="1"/>
  <c r="I123" i="1"/>
  <c r="I128" i="1"/>
  <c r="I134" i="1"/>
  <c r="J114" i="1"/>
  <c r="J125" i="1"/>
  <c r="I124" i="1"/>
  <c r="I129" i="1"/>
  <c r="J112" i="1"/>
  <c r="D103" i="4" l="1"/>
  <c r="F103" i="4"/>
  <c r="B104" i="4"/>
  <c r="D94" i="2"/>
  <c r="E98" i="2" s="1"/>
  <c r="B94" i="2"/>
  <c r="C98" i="2" s="1"/>
  <c r="C94" i="2"/>
  <c r="D98" i="2" s="1"/>
  <c r="F99" i="2"/>
  <c r="B114" i="2" s="1"/>
  <c r="B116" i="2" s="1"/>
  <c r="B117" i="2" s="1"/>
  <c r="J98" i="1"/>
  <c r="K98" i="1"/>
  <c r="I98" i="1"/>
  <c r="O127" i="1"/>
  <c r="O122" i="1"/>
  <c r="D58" i="1"/>
  <c r="D60" i="1" s="1"/>
  <c r="O115" i="1"/>
  <c r="K117" i="1"/>
  <c r="O117" i="1"/>
  <c r="K112" i="1"/>
  <c r="O112" i="1"/>
  <c r="K118" i="1"/>
  <c r="O118" i="1"/>
  <c r="O134" i="1"/>
  <c r="K134" i="1"/>
  <c r="O128" i="1"/>
  <c r="K128" i="1"/>
  <c r="O114" i="1"/>
  <c r="K114" i="1"/>
  <c r="O123" i="1"/>
  <c r="K123" i="1"/>
  <c r="N109" i="1"/>
  <c r="M110" i="1"/>
  <c r="K129" i="1"/>
  <c r="O129" i="1"/>
  <c r="J136" i="1"/>
  <c r="O116" i="1"/>
  <c r="K116" i="1"/>
  <c r="K132" i="1"/>
  <c r="O132" i="1"/>
  <c r="K124" i="1"/>
  <c r="O124" i="1"/>
  <c r="K110" i="1"/>
  <c r="K125" i="1"/>
  <c r="O125" i="1"/>
  <c r="O107" i="1"/>
  <c r="K107" i="1"/>
  <c r="I136" i="1"/>
  <c r="B105" i="4" l="1"/>
  <c r="F104" i="4"/>
  <c r="D104" i="4"/>
  <c r="O109" i="1"/>
  <c r="M111" i="1"/>
  <c r="N111" i="1" s="1"/>
  <c r="O111" i="1" s="1"/>
  <c r="N110" i="1"/>
  <c r="O110" i="1" s="1"/>
  <c r="K136" i="1"/>
  <c r="D105" i="4" l="1"/>
  <c r="F105" i="4"/>
  <c r="B106" i="4"/>
  <c r="O136" i="1"/>
  <c r="N136" i="1"/>
  <c r="D106" i="4" l="1"/>
  <c r="B107" i="4"/>
  <c r="F106" i="4"/>
  <c r="D107" i="4" l="1"/>
  <c r="F107" i="4"/>
  <c r="B108" i="4"/>
  <c r="D108" i="4" l="1"/>
  <c r="F108" i="4"/>
</calcChain>
</file>

<file path=xl/sharedStrings.xml><?xml version="1.0" encoding="utf-8"?>
<sst xmlns="http://schemas.openxmlformats.org/spreadsheetml/2006/main" count="609" uniqueCount="334">
  <si>
    <t>Table 1 - Membership and Claims</t>
  </si>
  <si>
    <t>2023 Experience</t>
  </si>
  <si>
    <t>2024 Experience</t>
  </si>
  <si>
    <t>Manual</t>
  </si>
  <si>
    <t>Member Months</t>
  </si>
  <si>
    <t>(1)</t>
  </si>
  <si>
    <t>Allowed Charges</t>
  </si>
  <si>
    <t>(2)</t>
  </si>
  <si>
    <t>Allowed PMPM Cost</t>
  </si>
  <si>
    <t>(2)/(1)</t>
  </si>
  <si>
    <t>Table 2 - Geographic Area</t>
  </si>
  <si>
    <t>Distribution of Members</t>
  </si>
  <si>
    <t>Area Factor</t>
  </si>
  <si>
    <t>2026 Projection</t>
  </si>
  <si>
    <t>Rating Area 1</t>
  </si>
  <si>
    <t>Rating Area 2</t>
  </si>
  <si>
    <t>Rating Area 3</t>
  </si>
  <si>
    <t>Rating Area 4</t>
  </si>
  <si>
    <t>Composite Area Factor</t>
  </si>
  <si>
    <t>=sumproduct(Area Factor, Distribution of Members)</t>
  </si>
  <si>
    <t>Pricing Adjustment to 2026</t>
  </si>
  <si>
    <t>=Composite Factor / 2026 Projection Composite Factor</t>
  </si>
  <si>
    <t>Manual Area Factor (given in the question):</t>
  </si>
  <si>
    <t>Manual Area Factor Pricing Adjustment to 2026:</t>
  </si>
  <si>
    <t>Table 3 - Age/Gender</t>
  </si>
  <si>
    <t>Gender</t>
  </si>
  <si>
    <t>Age Band</t>
  </si>
  <si>
    <t>Claim Cost Factor</t>
  </si>
  <si>
    <t>Child</t>
  </si>
  <si>
    <t>0-9</t>
  </si>
  <si>
    <t>10-19</t>
  </si>
  <si>
    <t>Male</t>
  </si>
  <si>
    <t>20-29</t>
  </si>
  <si>
    <t>30-39</t>
  </si>
  <si>
    <t>40-49</t>
  </si>
  <si>
    <t>50+</t>
  </si>
  <si>
    <t>Female</t>
  </si>
  <si>
    <t>Composite Age/Gender Factor</t>
  </si>
  <si>
    <t>=sumproduct(Claim Cost Factor, Distribution of Members)</t>
  </si>
  <si>
    <t>Annual Trend:</t>
  </si>
  <si>
    <t>Given in the question</t>
  </si>
  <si>
    <t>Months of Trend</t>
  </si>
  <si>
    <t>Trend Factor</t>
  </si>
  <si>
    <r>
      <t>=(1.065)^[</t>
    </r>
    <r>
      <rPr>
        <i/>
        <sz val="11"/>
        <color theme="1"/>
        <rFont val="Aptos Narrow"/>
        <family val="2"/>
        <scheme val="minor"/>
      </rPr>
      <t>(1)</t>
    </r>
    <r>
      <rPr>
        <sz val="11"/>
        <color theme="1"/>
        <rFont val="Aptos Narrow"/>
        <family val="2"/>
        <scheme val="minor"/>
      </rPr>
      <t>/12]</t>
    </r>
  </si>
  <si>
    <t>Experience Allowed PMPM Cost</t>
  </si>
  <si>
    <t>From Table 1 Calculations</t>
  </si>
  <si>
    <t>Trend</t>
  </si>
  <si>
    <t>From Trend Calculations</t>
  </si>
  <si>
    <t>Area</t>
  </si>
  <si>
    <t>From Table 2 Calculations</t>
  </si>
  <si>
    <t>Age/Gender</t>
  </si>
  <si>
    <t>From Table 3 Caclulations</t>
  </si>
  <si>
    <t>Projected Allowed PMPM Cost</t>
  </si>
  <si>
    <t>=Experience Allowed PMPM Cost * Trend * Area * Age/Gender</t>
  </si>
  <si>
    <t>Weighting</t>
  </si>
  <si>
    <t>*Given in the question</t>
  </si>
  <si>
    <t>Blended Allowed PMPM Cost</t>
  </si>
  <si>
    <t>=sumproduct(Projected Allowed PMPM Cost, Weighting)</t>
  </si>
  <si>
    <t>Services</t>
  </si>
  <si>
    <t>Annual Services per 1,000 Members</t>
  </si>
  <si>
    <t>(1)
Annual Services (as a number)</t>
  </si>
  <si>
    <t>(2)
Avg Cost Per Service</t>
  </si>
  <si>
    <t>(3)
Current Copay Amount</t>
  </si>
  <si>
    <t>(4)
Gross PMPM Benefit Cost
(1)/1000 
X (2)/12</t>
  </si>
  <si>
    <t>(5)
Value of Current Copay
(1)/1000 
X (3)/12</t>
  </si>
  <si>
    <t>(6) Current Net Benefit Cost
(4) - (5)</t>
  </si>
  <si>
    <t>I. Hospital Services</t>
  </si>
  <si>
    <t>A. Inpatient</t>
  </si>
  <si>
    <t>1. Medical</t>
  </si>
  <si>
    <t>130 Days</t>
  </si>
  <si>
    <t>2. Surgical</t>
  </si>
  <si>
    <t>95 Days</t>
  </si>
  <si>
    <t>3. Maternity</t>
  </si>
  <si>
    <t>30 Days</t>
  </si>
  <si>
    <t>4. Mental Health</t>
  </si>
  <si>
    <t>45 Days</t>
  </si>
  <si>
    <t>5. Substance Abuse</t>
  </si>
  <si>
    <t>15 Days</t>
  </si>
  <si>
    <t>6. Skilled Nursing</t>
  </si>
  <si>
    <t>25 Days</t>
  </si>
  <si>
    <t>B. Outpatient</t>
  </si>
  <si>
    <t>1. ER</t>
  </si>
  <si>
    <t>185 Cases</t>
  </si>
  <si>
    <t>2. Radiology</t>
  </si>
  <si>
    <t>330 Cases</t>
  </si>
  <si>
    <t>3. Pathology</t>
  </si>
  <si>
    <t>395 Cases</t>
  </si>
  <si>
    <t>4. Surgery</t>
  </si>
  <si>
    <t>145 Cases</t>
  </si>
  <si>
    <t>5. Other Outpatient</t>
  </si>
  <si>
    <t>580 Cases</t>
  </si>
  <si>
    <t>II. Physician Services</t>
  </si>
  <si>
    <t>A. Physician Encounters</t>
  </si>
  <si>
    <t>1. Office Visits</t>
  </si>
  <si>
    <t>6,100 Visits</t>
  </si>
  <si>
    <t>2. Consultations</t>
  </si>
  <si>
    <t>300 Visits</t>
  </si>
  <si>
    <t>3. Immunizations</t>
  </si>
  <si>
    <t>860 Procedures</t>
  </si>
  <si>
    <t>B. Inpatient Visits</t>
  </si>
  <si>
    <t>265 Visits</t>
  </si>
  <si>
    <t>C. Surgery</t>
  </si>
  <si>
    <t>1. Inpatient</t>
  </si>
  <si>
    <t>55 Procedures</t>
  </si>
  <si>
    <t>2. Outpatient</t>
  </si>
  <si>
    <t>700 Procedures</t>
  </si>
  <si>
    <t>D. Lab/X-Rays</t>
  </si>
  <si>
    <t>5,500 Procedures</t>
  </si>
  <si>
    <t>III. Ancillary Services</t>
  </si>
  <si>
    <t>A. Ambulance</t>
  </si>
  <si>
    <t>80 Cases</t>
  </si>
  <si>
    <t>B. Rx</t>
  </si>
  <si>
    <t>12,100 Scripts</t>
  </si>
  <si>
    <t>C. Home Health</t>
  </si>
  <si>
    <t>45 Visits</t>
  </si>
  <si>
    <t>Total:</t>
  </si>
  <si>
    <t>From Part C</t>
  </si>
  <si>
    <t>Part D</t>
  </si>
  <si>
    <t>(7)
New Copay Amount</t>
  </si>
  <si>
    <t>(8)
Value of New Copay
(1)/1000 
X (7)/12</t>
  </si>
  <si>
    <t>(9) New Net Benefit Cost
(4) - (8)</t>
  </si>
  <si>
    <t>Part D Math Solution:</t>
  </si>
  <si>
    <t>Part C Math Solution:</t>
  </si>
  <si>
    <t>Part B Math Solution:</t>
  </si>
  <si>
    <t>Annual Impact</t>
  </si>
  <si>
    <t>Monthly Impact</t>
  </si>
  <si>
    <t>Separate</t>
  </si>
  <si>
    <t>Combined</t>
  </si>
  <si>
    <t>Total Monthly Expense</t>
  </si>
  <si>
    <t>HMO</t>
  </si>
  <si>
    <t>CDHP</t>
  </si>
  <si>
    <t>Start-Up</t>
  </si>
  <si>
    <t>$150k or more</t>
  </si>
  <si>
    <t>$50k to $150k</t>
  </si>
  <si>
    <t>Less than $50k</t>
  </si>
  <si>
    <t>behemoth</t>
  </si>
  <si>
    <t>Separate Costs</t>
  </si>
  <si>
    <t>Combined Costs</t>
  </si>
  <si>
    <t>Tier</t>
  </si>
  <si>
    <t>Enrollment</t>
  </si>
  <si>
    <t>Total</t>
  </si>
  <si>
    <t>Employee + Family</t>
  </si>
  <si>
    <t>Employee + Children</t>
  </si>
  <si>
    <t>Employee+Spouse</t>
  </si>
  <si>
    <t>Employee Only</t>
  </si>
  <si>
    <t>Premiums</t>
  </si>
  <si>
    <t>Admin</t>
  </si>
  <si>
    <t>Claims</t>
  </si>
  <si>
    <t>Combined Plans</t>
  </si>
  <si>
    <t>TOTAL HMO</t>
  </si>
  <si>
    <t>Acquired HMO</t>
  </si>
  <si>
    <t>Parent HMO</t>
  </si>
  <si>
    <t>TOTAL CDHP</t>
  </si>
  <si>
    <t>Acquired CDHP</t>
  </si>
  <si>
    <t>Parent CDHP</t>
  </si>
  <si>
    <t>Claims Adj</t>
  </si>
  <si>
    <t>Network</t>
  </si>
  <si>
    <t>AV Adj to Parent</t>
  </si>
  <si>
    <t>AV</t>
  </si>
  <si>
    <t>Claims PEPM</t>
  </si>
  <si>
    <t>Subscriber Count</t>
  </si>
  <si>
    <t>Current Design</t>
  </si>
  <si>
    <t>HMO Total</t>
  </si>
  <si>
    <t>CDHP Total</t>
  </si>
  <si>
    <t>SOLUTION</t>
  </si>
  <si>
    <t>Show your work.</t>
  </si>
  <si>
    <t xml:space="preserve">Calculate the annual difference in costs to behemoth for transitioning Start-Up employees to behemoth's benefit package compared to allowing them to continue on their current package. </t>
  </si>
  <si>
    <t>Assume neither behemoth Corp. nor Start-Up Inc. enrollees change plan types.</t>
  </si>
  <si>
    <t>All Employees will be moved to the Less than $50k Salary Subsidy rate for their plan type.</t>
  </si>
  <si>
    <t>Per Employee Per Month admin expenses to administer the program</t>
  </si>
  <si>
    <t>Expected Reduction in claims for former Start-Up Inc. employees due to provider contracting</t>
  </si>
  <si>
    <t xml:space="preserve">The Benefits Manager decides Start-Up Inc. will transition to behemoth Corp.'s benefit package and Actuarial Value as part of the merger maintaining the parent company tier ratio . </t>
  </si>
  <si>
    <t>Start-up subsidizes all employee premiums at</t>
  </si>
  <si>
    <t>TOTAL</t>
  </si>
  <si>
    <t>Enrollment by Salary Band</t>
  </si>
  <si>
    <t>Tier Ratio</t>
  </si>
  <si>
    <t>Actuarial Value</t>
  </si>
  <si>
    <t>Total Claims</t>
  </si>
  <si>
    <t>Monthly Premiums for CDHP and HMO Policies</t>
  </si>
  <si>
    <t>For Start-Up Inc.</t>
  </si>
  <si>
    <t>Employer Subsidy by Salary Band</t>
  </si>
  <si>
    <t>Total Claims PEMPM</t>
  </si>
  <si>
    <t>For behemoth Corp.</t>
  </si>
  <si>
    <t>You are Given:</t>
  </si>
  <si>
    <t xml:space="preserve">You are an actuary assisting your client Behemoth Corp. with harmonizing their medical benefits for all its employees following their recent acquisition of Start-Up Inc. </t>
  </si>
  <si>
    <t>Part B</t>
  </si>
  <si>
    <t>Question 1</t>
  </si>
  <si>
    <t>Selection Load</t>
  </si>
  <si>
    <t>C</t>
  </si>
  <si>
    <t>B</t>
  </si>
  <si>
    <t>A</t>
  </si>
  <si>
    <t>Lean</t>
  </si>
  <si>
    <t>Monthly Claims</t>
  </si>
  <si>
    <t>Monthly Premium</t>
  </si>
  <si>
    <t>Morbidity</t>
  </si>
  <si>
    <t>Membership</t>
  </si>
  <si>
    <t>Plan</t>
  </si>
  <si>
    <t>Year 2</t>
  </si>
  <si>
    <t>Waived</t>
  </si>
  <si>
    <t>Unknown</t>
  </si>
  <si>
    <t>Year 2 Plan</t>
  </si>
  <si>
    <t>Year 1 Plan</t>
  </si>
  <si>
    <t>Relative Health Status (Morbidity)</t>
  </si>
  <si>
    <t># of Employees</t>
  </si>
  <si>
    <t>Risk Group</t>
  </si>
  <si>
    <t>ANSWER:</t>
  </si>
  <si>
    <t>Calculate the selection load needed in year 2 for ABC to break even under Proposal 2. Show your work.</t>
  </si>
  <si>
    <t>(2 points)</t>
  </si>
  <si>
    <t>(b)</t>
  </si>
  <si>
    <t>Calculate the estimated morbidity of the new enrollees in year 2, given the break-even selection load for ABC of 10%, under proposal 1. Show your work.</t>
  </si>
  <si>
    <t>(3 points)</t>
  </si>
  <si>
    <t>(a)</t>
  </si>
  <si>
    <t>All other enrollees remain in their same health plan.</t>
  </si>
  <si>
    <t>Half of Risk Group 1 enrollees elect the new lean option.</t>
  </si>
  <si>
    <t>The same employees who newly elected coverage in year 2 from Scenario 1 enroll in the new lean plan.</t>
  </si>
  <si>
    <t xml:space="preserve">XYZ offers a new lean plan option with a premium of $450 per month. </t>
  </si>
  <si>
    <t>Proposal 2:</t>
  </si>
  <si>
    <t>50% of those who waived in year 1 elect coverage in year 2 for plan A. 50% continue to waive coverage.</t>
  </si>
  <si>
    <t>Risk groups 2 and 4 are expected to move to the next lower-priced option.</t>
  </si>
  <si>
    <t>Risk groups 1, 3, and 5 are expected to stay in their current plan.</t>
  </si>
  <si>
    <t>XYZ increases the premium contributions by $50.</t>
  </si>
  <si>
    <t>Proposal 1:</t>
  </si>
  <si>
    <t>XYZ would like to offer more competitive health coverage options in Year 2 and has the following two proposals:</t>
  </si>
  <si>
    <t>ABC Insurance increases the premium rates by 5% in Year 2.</t>
  </si>
  <si>
    <t>XYZ's employee census, morbidity, and Year 1 plan selection:</t>
  </si>
  <si>
    <t>XYZ will contribute $400 per month.</t>
  </si>
  <si>
    <t>Year 1 premiums are not adjusted for anticipated selection.</t>
  </si>
  <si>
    <t>Gold</t>
  </si>
  <si>
    <t>Silver</t>
  </si>
  <si>
    <t>Bronze</t>
  </si>
  <si>
    <t>Monthly Insurer Premium Rates</t>
  </si>
  <si>
    <t>Metallic Level</t>
  </si>
  <si>
    <t>Health Plan</t>
  </si>
  <si>
    <t>XYZ currently offers three health plans to its employees:</t>
  </si>
  <si>
    <t>XYZ is fully-insured by ABC.</t>
  </si>
  <si>
    <t>You are given:</t>
  </si>
  <si>
    <t>You are an actuary for ABC Insurance and are evaluating the pricing of health benefit choices at XYZ Company.</t>
  </si>
  <si>
    <t>(6 points)</t>
  </si>
  <si>
    <t>Question 4</t>
  </si>
  <si>
    <t>Recommend a funding arrangement to the CFO. Justify your response.</t>
  </si>
  <si>
    <t>(1 point)</t>
  </si>
  <si>
    <t>(d)</t>
  </si>
  <si>
    <t>iii) Interpret the chart.</t>
  </si>
  <si>
    <t>ii) Explain how the level funded plan generates the claims liability illustrated in part i)</t>
  </si>
  <si>
    <t>Self-Funded</t>
  </si>
  <si>
    <t>Level Funded</t>
  </si>
  <si>
    <t>Fully Insured</t>
  </si>
  <si>
    <t>Annual Claims</t>
  </si>
  <si>
    <t>i) Calculate how the claims liability for Company ABC changes as the annual claims increase by using the table and chart below.  Show your work.</t>
  </si>
  <si>
    <t>(c)</t>
  </si>
  <si>
    <t>ii) Explain how the level funded plan generates the cash flow illustrated in part i)</t>
  </si>
  <si>
    <t>*if there was a surplus it would be used to reduce the following years premium</t>
  </si>
  <si>
    <t>&lt; negative so no surplus</t>
  </si>
  <si>
    <t>total claims</t>
  </si>
  <si>
    <t>paid claims fund</t>
  </si>
  <si>
    <t>Month</t>
  </si>
  <si>
    <t xml:space="preserve">i) Calculate the cash flows by month for each of the three funding arrangements. Use the table and chart below.  Show your work. </t>
  </si>
  <si>
    <t>Assume the level-funded plan will pay 100% of the surplus to Company ABC</t>
  </si>
  <si>
    <t>Assume the claims account for Specific Stop Loss reimbursements</t>
  </si>
  <si>
    <t>Includes stop loss premiums and all other fixed fees</t>
  </si>
  <si>
    <t>Self-funded Expense PMPM</t>
  </si>
  <si>
    <t>Level-funded maximum liability PMPM</t>
  </si>
  <si>
    <t>Level-funded Expense PMPM</t>
  </si>
  <si>
    <t>Level-funded Premium Equivalent PMPM</t>
  </si>
  <si>
    <t>Fully-insured Premium PMPM</t>
  </si>
  <si>
    <t>Enrollment (members)</t>
  </si>
  <si>
    <t>You are the actuary for Company ABC, which is considering moving from its fully-insured medical coverage to either a level-funded or self-funded arrangement. Your CFO has asked to see how these three arrangements would have performed for the prior plan year.</t>
  </si>
  <si>
    <t>Level funding entirely addresses this. Under level funding agreements, employers pay a fixed amount PEPM into a claims fund and to the ASL / SSL insurer. This effectively stabilizes their monthly costs and makes projecting costs extremely predictable.</t>
  </si>
  <si>
    <t>Employer costs to operate the plan are much more volatile than under a traditional fully-insured option (especially for smaller groups), due to volatility of claims experience (as opposed to the level and predictable premiums when fully-insured)</t>
  </si>
  <si>
    <t>Level funding addresses this, by offering Aggregate stop loss insurance with a level funded product that caps the employer's financial risk at some % of expected claims (usually 120%). This amount is put into the claims paid fund for predictable total costs in bad experience years.</t>
  </si>
  <si>
    <t>Employer is financially responsible for the bad experience of their group when claims costs and expenses exceed premiums</t>
  </si>
  <si>
    <t>Level funding partially addresses this disadvantage, typically providing level-funded employers with TPAs or administrative services-only contracts to handle employee outreach and plan administration. The employer still needs to create a suitable plan design and may still need to handle or hire out some administrative services.</t>
  </si>
  <si>
    <t>Employer needs to figure out logistics of plan design and figure out a way to handle administrative burden associated with running a medical plan.</t>
  </si>
  <si>
    <t>Impact from Level Funding</t>
  </si>
  <si>
    <t>Disadvantages</t>
  </si>
  <si>
    <t>No impact - a group can customize their benefit offerings as desired (subject to minimum Actuarial Values, affordability criteria, and other laws)</t>
  </si>
  <si>
    <t>Employer can customize their benefit offerings to their employees specific needs with some more flexibility than fully-insured options (subject to more standardization and regulation).</t>
  </si>
  <si>
    <t>No impact - if a group's experience runs better than expected, the employer receives the surplus</t>
  </si>
  <si>
    <t>Employer can benefit in the good experience of their group when claims costs are lower than expected.</t>
  </si>
  <si>
    <t>Small negative impact: there are fees that need to be paid to the level-funding insurer for aggregate/specific stop loss, but ultimately they are much smaller than the fees under fully-insured agreements)</t>
  </si>
  <si>
    <t>Employer avoids paying fees that they would pay under traditional fully-insured products, such as premium taxes, ACA fees, and insurer profits/expenses.</t>
  </si>
  <si>
    <t>Advantages</t>
  </si>
  <si>
    <t>Describe advantages and disadvantages of self-insurance, including how a level-funded product addresses a disadvantage, mitigates an advantage, or has no impact, by completing the following grid:</t>
  </si>
  <si>
    <t>(9 points)</t>
  </si>
  <si>
    <t>Question 5</t>
  </si>
  <si>
    <t>Additionally, I believe it is more conservative to have an overestimated trend number as compared to an underestimated trend number which may have catastrophic impacts if it is underestimated on estimating our reserves and stop loss liabilities.</t>
  </si>
  <si>
    <t xml:space="preserve">Therefore, the -5% one time change dampening of the  overall net paid trend allows for the trend to account for the steady state dampening the trend that is high as a result of the technology introduction (which should become less costly and more fficient as time goes on decreasing trend) while also capturing the larger picture here that these changes in the CPT code unit costs may not be actually related to the overall net paid trend. </t>
  </si>
  <si>
    <t xml:space="preserve">At the same time, it does not dampen it the overall net paid trend too much because looking at the fee schedule and weighting by CPT code, the weightings barely shifted from 20x4 to 20x5 and the fee schedule only increased by a really large amount for CPT codes 6 and 8. In spite of this increase , I think the coupling of the weightings by CPT code not changing much indicates that the increase in unit cost may be driven by some other factors not related to the technology introduction because there was not much shifting in the way that services are used as a result of the technology introduction. </t>
  </si>
  <si>
    <t>This dampens the overall trend because of the managers conscern with the technology entering the steady state, which should lead to a decrease in trend., as for the reason mentioned in part a.</t>
  </si>
  <si>
    <t>Recommending a net paid trend of 35% compared to the net paid trend without the -5% one time change trend (recommended by me) of 42.10%.</t>
  </si>
  <si>
    <t>net paid trend without one time change</t>
  </si>
  <si>
    <t>net paid trend with one time change trend added</t>
  </si>
  <si>
    <t>one time change</t>
  </si>
  <si>
    <t>core util trend</t>
  </si>
  <si>
    <t>Core cost trend</t>
  </si>
  <si>
    <t>CPT Code -8</t>
  </si>
  <si>
    <t>CPT Code -7</t>
  </si>
  <si>
    <t>CPT Code -6</t>
  </si>
  <si>
    <t>CPT Code -5</t>
  </si>
  <si>
    <t>CPT Code -4</t>
  </si>
  <si>
    <t>CPT Code -3</t>
  </si>
  <si>
    <t>CPT Code -2</t>
  </si>
  <si>
    <t>CPT Code -1</t>
  </si>
  <si>
    <t>20x5 net paid amount</t>
  </si>
  <si>
    <t>20x4 net paid amount</t>
  </si>
  <si>
    <t>20X5 Projected Fee Schedule</t>
  </si>
  <si>
    <t>Projected 20X5 Weight</t>
  </si>
  <si>
    <t>20X4 Fee Schedule</t>
  </si>
  <si>
    <t>20X4 Weight</t>
  </si>
  <si>
    <t>Description</t>
  </si>
  <si>
    <t>net paid amounts is found by deducting the 25 copay form the fee schedule</t>
  </si>
  <si>
    <t>with the assumptions above for no changes in pop, prov contract, structures, or cost sharing, net paid trend is the product of  core cost trend of the paid amounts and the core utilization trend, as well as the one time change</t>
  </si>
  <si>
    <t>Recommend a projected 20X5 Net Paid Trend. Justify your assumptions.  Show your work.</t>
  </si>
  <si>
    <t>Assume no changes in population, provider contracting, structural program changes, member cost sharing</t>
  </si>
  <si>
    <t>Copay</t>
  </si>
  <si>
    <t>Core Utilization Trend</t>
  </si>
  <si>
    <t>for the technology change.</t>
  </si>
  <si>
    <t xml:space="preserve">pointing out the technology is entering Phase 3 Steady State of the Technology Curve, and is recommending a one-time change assumption to account </t>
  </si>
  <si>
    <t xml:space="preserve">Within this service category, a new technology emerged in the period impacting the trend calculated in Part B. Your manager is questioning the projected 20X5 Core Unit Cost Trends, </t>
  </si>
  <si>
    <t>Check</t>
  </si>
  <si>
    <t>Severity</t>
  </si>
  <si>
    <t>Unit cost</t>
  </si>
  <si>
    <t>Base 2025 Util</t>
  </si>
  <si>
    <t>Base 2024 util</t>
  </si>
  <si>
    <t>2025 fees</t>
  </si>
  <si>
    <t>2024 fees</t>
  </si>
  <si>
    <t>- Core Unit Cost Trend</t>
  </si>
  <si>
    <t>- Change in Severity</t>
  </si>
  <si>
    <t>- Unit Cost Trend</t>
  </si>
  <si>
    <t>Calculate the following. Show your work.</t>
  </si>
  <si>
    <t>Assume no changes in mix of services.</t>
  </si>
  <si>
    <t>You are an actuary at Insurer ABC setting the trend assumptions for a Group Health product.</t>
  </si>
  <si>
    <t>Describe the phases of the technology curve following the introduction of a new technology.</t>
  </si>
  <si>
    <t>Question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</si>
</sst>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0.0"/>
    <numFmt numFmtId="169" formatCode="&quot;$&quot;#,##0.00"/>
    <numFmt numFmtId="170" formatCode="&quot;$&quot;#,##0"/>
    <numFmt numFmtId="171" formatCode="0.0000%"/>
  </numFmts>
  <fonts count="19">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scheme val="minor"/>
    </font>
    <font>
      <sz val="11"/>
      <color theme="1"/>
      <name val="Aptos Narrow"/>
    </font>
    <font>
      <strike/>
      <sz val="11"/>
      <color rgb="FFFF0000"/>
      <name val="Aptos Narrow"/>
    </font>
    <font>
      <b/>
      <sz val="11"/>
      <color theme="1"/>
      <name val="Aptos Narrow"/>
    </font>
    <font>
      <b/>
      <sz val="11"/>
      <color theme="1"/>
      <name val="Arial"/>
    </font>
    <font>
      <sz val="11"/>
      <name val="Aptos Narrow"/>
    </font>
    <font>
      <sz val="11"/>
      <color rgb="FFD8D8D8"/>
      <name val="Aptos Narrow"/>
    </font>
    <font>
      <sz val="12"/>
      <color theme="1"/>
      <name val="Times New Roman"/>
      <family val="1"/>
    </font>
    <font>
      <b/>
      <sz val="12"/>
      <color theme="1"/>
      <name val="Times New Roman"/>
      <family val="1"/>
    </font>
    <font>
      <sz val="12"/>
      <name val="Times New Roman"/>
      <family val="1"/>
    </font>
    <font>
      <sz val="12"/>
      <color theme="1"/>
      <name val="Aptos Narrow"/>
      <family val="2"/>
      <scheme val="minor"/>
    </font>
    <font>
      <i/>
      <sz val="12"/>
      <color theme="1"/>
      <name val="Times New Roman"/>
      <family val="1"/>
    </font>
    <font>
      <b/>
      <sz val="12"/>
      <name val="Times New Roman"/>
      <family val="1"/>
    </font>
    <font>
      <sz val="12"/>
      <color theme="5"/>
      <name val="Times New Roman"/>
      <family val="1"/>
    </font>
    <font>
      <b/>
      <sz val="12"/>
      <color theme="5"/>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0" fontId="14" fillId="0" borderId="0"/>
    <xf numFmtId="9" fontId="14" fillId="0" borderId="0" applyFont="0" applyFill="0" applyBorder="0" applyAlignment="0" applyProtection="0"/>
  </cellStyleXfs>
  <cellXfs count="23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8" xfId="0" applyBorder="1"/>
    <xf numFmtId="0" fontId="2" fillId="0" borderId="9" xfId="0" applyFont="1" applyBorder="1" applyAlignment="1">
      <alignment horizontal="center"/>
    </xf>
    <xf numFmtId="0" fontId="2" fillId="0" borderId="10" xfId="0" applyFont="1" applyBorder="1"/>
    <xf numFmtId="164" fontId="0" fillId="0" borderId="10" xfId="1" applyNumberFormat="1" applyFont="1" applyBorder="1" applyAlignment="1"/>
    <xf numFmtId="164" fontId="3" fillId="0" borderId="0" xfId="1" quotePrefix="1" applyNumberFormat="1" applyFont="1" applyBorder="1" applyAlignment="1">
      <alignment horizontal="left"/>
    </xf>
    <xf numFmtId="165" fontId="0" fillId="0" borderId="10" xfId="2" applyNumberFormat="1" applyFont="1" applyBorder="1" applyAlignment="1"/>
    <xf numFmtId="165" fontId="0" fillId="0" borderId="11" xfId="2" applyNumberFormat="1" applyFont="1" applyBorder="1" applyAlignment="1"/>
    <xf numFmtId="0" fontId="2" fillId="0" borderId="2" xfId="0" applyFont="1" applyBorder="1"/>
    <xf numFmtId="44" fontId="2" fillId="0" borderId="2" xfId="2" applyFont="1" applyBorder="1" applyAlignment="1"/>
    <xf numFmtId="44" fontId="2" fillId="0" borderId="10" xfId="2" applyFont="1" applyBorder="1" applyAlignment="1"/>
    <xf numFmtId="0" fontId="2" fillId="0" borderId="0" xfId="0" applyFont="1"/>
    <xf numFmtId="0" fontId="2" fillId="0" borderId="10" xfId="0" applyFont="1" applyBorder="1" applyAlignment="1">
      <alignment horizontal="center"/>
    </xf>
    <xf numFmtId="0" fontId="0" fillId="0" borderId="10" xfId="0" applyBorder="1"/>
    <xf numFmtId="0" fontId="2" fillId="0" borderId="11" xfId="0" applyFont="1" applyBorder="1"/>
    <xf numFmtId="0" fontId="2" fillId="0" borderId="11" xfId="0" applyFont="1" applyBorder="1" applyAlignment="1">
      <alignment horizontal="center"/>
    </xf>
    <xf numFmtId="0" fontId="2" fillId="0" borderId="0" xfId="0" applyFont="1" applyAlignment="1">
      <alignment horizontal="center"/>
    </xf>
    <xf numFmtId="0" fontId="0" fillId="0" borderId="10" xfId="0" applyBorder="1" applyAlignment="1">
      <alignment horizontal="center"/>
    </xf>
    <xf numFmtId="9" fontId="0" fillId="0" borderId="10" xfId="0" applyNumberFormat="1" applyBorder="1" applyAlignment="1">
      <alignment horizontal="center"/>
    </xf>
    <xf numFmtId="9" fontId="0" fillId="0" borderId="0" xfId="0" applyNumberFormat="1" applyAlignment="1">
      <alignment horizontal="center"/>
    </xf>
    <xf numFmtId="166" fontId="0" fillId="0" borderId="10" xfId="0" applyNumberFormat="1" applyBorder="1" applyAlignment="1">
      <alignment horizontal="center"/>
    </xf>
    <xf numFmtId="0" fontId="3" fillId="0" borderId="0" xfId="0" quotePrefix="1" applyFont="1"/>
    <xf numFmtId="0" fontId="0" fillId="0" borderId="0" xfId="0" applyAlignment="1">
      <alignment horizontal="right"/>
    </xf>
    <xf numFmtId="0" fontId="0" fillId="0" borderId="2" xfId="1" applyNumberFormat="1" applyFont="1" applyFill="1" applyBorder="1" applyAlignment="1">
      <alignment horizontal="center"/>
    </xf>
    <xf numFmtId="166" fontId="0" fillId="0" borderId="0" xfId="1" applyNumberFormat="1" applyFont="1" applyFill="1" applyBorder="1" applyAlignment="1">
      <alignment horizontal="center"/>
    </xf>
    <xf numFmtId="0" fontId="0" fillId="0" borderId="10" xfId="0" quotePrefix="1" applyBorder="1" applyAlignment="1">
      <alignment horizontal="center"/>
    </xf>
    <xf numFmtId="167" fontId="0" fillId="0" borderId="0" xfId="0" applyNumberFormat="1"/>
    <xf numFmtId="0" fontId="3" fillId="0" borderId="0" xfId="0" applyFont="1"/>
    <xf numFmtId="0" fontId="0" fillId="0" borderId="0" xfId="0" applyAlignment="1">
      <alignment horizontal="center"/>
    </xf>
    <xf numFmtId="166" fontId="0" fillId="0" borderId="0" xfId="0" applyNumberFormat="1" applyAlignment="1">
      <alignment horizontal="center"/>
    </xf>
    <xf numFmtId="0" fontId="0" fillId="0" borderId="0" xfId="0" quotePrefix="1"/>
    <xf numFmtId="44" fontId="0" fillId="0" borderId="0" xfId="0" applyNumberFormat="1" applyAlignment="1">
      <alignment horizontal="center" vertical="center"/>
    </xf>
    <xf numFmtId="166" fontId="0" fillId="0" borderId="0" xfId="0" applyNumberFormat="1"/>
    <xf numFmtId="44" fontId="0" fillId="0" borderId="0" xfId="0" applyNumberFormat="1"/>
    <xf numFmtId="9" fontId="0" fillId="0" borderId="0" xfId="0" applyNumberFormat="1"/>
    <xf numFmtId="0" fontId="0" fillId="0" borderId="12" xfId="0" applyBorder="1"/>
    <xf numFmtId="0" fontId="0" fillId="0" borderId="13" xfId="0" applyBorder="1"/>
    <xf numFmtId="0" fontId="0" fillId="0" borderId="14" xfId="0" applyBorder="1"/>
    <xf numFmtId="0" fontId="0" fillId="0" borderId="0" xfId="0" applyAlignment="1">
      <alignment horizontal="left"/>
    </xf>
    <xf numFmtId="165" fontId="0" fillId="0" borderId="0" xfId="2" applyNumberFormat="1" applyFont="1" applyBorder="1" applyAlignment="1"/>
    <xf numFmtId="44" fontId="0" fillId="0" borderId="0" xfId="2" applyFont="1" applyBorder="1" applyAlignment="1"/>
    <xf numFmtId="44" fontId="2" fillId="3" borderId="0" xfId="0" applyNumberFormat="1" applyFont="1" applyFill="1"/>
    <xf numFmtId="0" fontId="2" fillId="0" borderId="0" xfId="0" applyFont="1" applyAlignment="1">
      <alignment wrapText="1"/>
    </xf>
    <xf numFmtId="0" fontId="0" fillId="0" borderId="0" xfId="0" applyAlignment="1">
      <alignment horizontal="left" indent="1"/>
    </xf>
    <xf numFmtId="0" fontId="0" fillId="0" borderId="0" xfId="0" applyAlignment="1">
      <alignment horizontal="left" indent="2"/>
    </xf>
    <xf numFmtId="165" fontId="0" fillId="0" borderId="0" xfId="2" applyNumberFormat="1" applyFont="1" applyBorder="1"/>
    <xf numFmtId="44" fontId="0" fillId="0" borderId="0" xfId="2" applyFont="1" applyBorder="1"/>
    <xf numFmtId="0" fontId="4" fillId="0" borderId="0" xfId="4"/>
    <xf numFmtId="0" fontId="5" fillId="0" borderId="0" xfId="4" applyFont="1"/>
    <xf numFmtId="0" fontId="6" fillId="0" borderId="0" xfId="4" applyFont="1"/>
    <xf numFmtId="0" fontId="6" fillId="0" borderId="0" xfId="4" applyFont="1" applyAlignment="1">
      <alignment horizontal="left"/>
    </xf>
    <xf numFmtId="0" fontId="5" fillId="0" borderId="0" xfId="4" applyFont="1" applyAlignment="1">
      <alignment horizontal="left"/>
    </xf>
    <xf numFmtId="6" fontId="7" fillId="0" borderId="0" xfId="4" applyNumberFormat="1" applyFont="1"/>
    <xf numFmtId="0" fontId="8" fillId="0" borderId="0" xfId="4" applyFont="1"/>
    <xf numFmtId="8" fontId="5" fillId="0" borderId="0" xfId="4" applyNumberFormat="1" applyFont="1"/>
    <xf numFmtId="6" fontId="5" fillId="0" borderId="0" xfId="4" applyNumberFormat="1" applyFont="1"/>
    <xf numFmtId="0" fontId="5" fillId="0" borderId="0" xfId="4" quotePrefix="1" applyFont="1" applyAlignment="1">
      <alignment horizontal="left"/>
    </xf>
    <xf numFmtId="0" fontId="7" fillId="0" borderId="0" xfId="4" quotePrefix="1" applyFont="1" applyAlignment="1">
      <alignment horizontal="left"/>
    </xf>
    <xf numFmtId="8" fontId="5" fillId="0" borderId="15" xfId="4" applyNumberFormat="1" applyFont="1" applyBorder="1"/>
    <xf numFmtId="0" fontId="5" fillId="0" borderId="15" xfId="4" applyFont="1" applyBorder="1"/>
    <xf numFmtId="8" fontId="5" fillId="0" borderId="16" xfId="4" applyNumberFormat="1" applyFont="1" applyBorder="1"/>
    <xf numFmtId="8" fontId="5" fillId="0" borderId="17" xfId="4" applyNumberFormat="1" applyFont="1" applyBorder="1"/>
    <xf numFmtId="0" fontId="5" fillId="0" borderId="18" xfId="4" applyFont="1" applyBorder="1"/>
    <xf numFmtId="8" fontId="5" fillId="0" borderId="19" xfId="4" applyNumberFormat="1" applyFont="1" applyBorder="1"/>
    <xf numFmtId="8" fontId="5" fillId="0" borderId="20" xfId="4" applyNumberFormat="1" applyFont="1" applyBorder="1"/>
    <xf numFmtId="0" fontId="5" fillId="0" borderId="21" xfId="4" applyFont="1" applyBorder="1"/>
    <xf numFmtId="168" fontId="5" fillId="0" borderId="22" xfId="4" applyNumberFormat="1" applyFont="1" applyBorder="1"/>
    <xf numFmtId="168" fontId="5" fillId="0" borderId="0" xfId="4" applyNumberFormat="1" applyFont="1"/>
    <xf numFmtId="0" fontId="5" fillId="0" borderId="23" xfId="4" applyFont="1" applyBorder="1"/>
    <xf numFmtId="3" fontId="5" fillId="0" borderId="19" xfId="4" applyNumberFormat="1" applyFont="1" applyBorder="1"/>
    <xf numFmtId="3" fontId="5" fillId="0" borderId="20" xfId="4" applyNumberFormat="1" applyFont="1" applyBorder="1"/>
    <xf numFmtId="0" fontId="5" fillId="0" borderId="21" xfId="4" quotePrefix="1" applyFont="1" applyBorder="1" applyAlignment="1">
      <alignment horizontal="left"/>
    </xf>
    <xf numFmtId="0" fontId="7" fillId="0" borderId="0" xfId="4" applyFont="1"/>
    <xf numFmtId="8" fontId="7" fillId="0" borderId="0" xfId="4" applyNumberFormat="1" applyFont="1"/>
    <xf numFmtId="3" fontId="7" fillId="0" borderId="0" xfId="4" applyNumberFormat="1" applyFont="1"/>
    <xf numFmtId="4" fontId="5" fillId="0" borderId="0" xfId="4" applyNumberFormat="1" applyFont="1"/>
    <xf numFmtId="9" fontId="5" fillId="0" borderId="0" xfId="4" applyNumberFormat="1" applyFont="1"/>
    <xf numFmtId="3" fontId="5" fillId="0" borderId="0" xfId="4" applyNumberFormat="1" applyFont="1"/>
    <xf numFmtId="0" fontId="5" fillId="0" borderId="24" xfId="4" applyFont="1" applyBorder="1"/>
    <xf numFmtId="0" fontId="5" fillId="0" borderId="25" xfId="4" applyFont="1" applyBorder="1"/>
    <xf numFmtId="0" fontId="5" fillId="0" borderId="26" xfId="4" quotePrefix="1" applyFont="1" applyBorder="1" applyAlignment="1">
      <alignment horizontal="left"/>
    </xf>
    <xf numFmtId="6" fontId="5" fillId="0" borderId="24" xfId="4" applyNumberFormat="1" applyFont="1" applyBorder="1"/>
    <xf numFmtId="9" fontId="5" fillId="0" borderId="24" xfId="4" applyNumberFormat="1" applyFont="1" applyBorder="1"/>
    <xf numFmtId="0" fontId="5" fillId="0" borderId="16" xfId="4" applyFont="1" applyBorder="1"/>
    <xf numFmtId="0" fontId="5" fillId="0" borderId="17" xfId="4" applyFont="1" applyBorder="1"/>
    <xf numFmtId="3" fontId="5" fillId="0" borderId="17" xfId="4" applyNumberFormat="1" applyFont="1" applyBorder="1"/>
    <xf numFmtId="0" fontId="5" fillId="0" borderId="22" xfId="4" applyFont="1" applyBorder="1"/>
    <xf numFmtId="3" fontId="7" fillId="0" borderId="15" xfId="4" applyNumberFormat="1" applyFont="1" applyBorder="1"/>
    <xf numFmtId="3" fontId="5" fillId="0" borderId="15" xfId="4" applyNumberFormat="1" applyFont="1" applyBorder="1"/>
    <xf numFmtId="168" fontId="5" fillId="0" borderId="15" xfId="4" applyNumberFormat="1" applyFont="1" applyBorder="1"/>
    <xf numFmtId="9" fontId="5" fillId="0" borderId="15" xfId="4" applyNumberFormat="1" applyFont="1" applyBorder="1"/>
    <xf numFmtId="0" fontId="5" fillId="0" borderId="23" xfId="4" quotePrefix="1" applyFont="1" applyBorder="1" applyAlignment="1">
      <alignment horizontal="left"/>
    </xf>
    <xf numFmtId="0" fontId="7" fillId="0" borderId="15" xfId="4" applyFont="1" applyBorder="1"/>
    <xf numFmtId="0" fontId="10" fillId="0" borderId="0" xfId="4" applyFont="1"/>
    <xf numFmtId="0" fontId="5" fillId="0" borderId="0" xfId="4" applyFont="1" applyAlignment="1">
      <alignment wrapText="1"/>
    </xf>
    <xf numFmtId="0" fontId="8" fillId="0" borderId="0" xfId="4" applyFont="1" applyAlignment="1">
      <alignment wrapText="1"/>
    </xf>
    <xf numFmtId="0" fontId="0" fillId="4" borderId="0" xfId="0" applyFill="1"/>
    <xf numFmtId="0" fontId="11" fillId="0" borderId="0" xfId="0" applyFont="1"/>
    <xf numFmtId="10" fontId="12" fillId="5" borderId="0" xfId="0" applyNumberFormat="1" applyFont="1" applyFill="1"/>
    <xf numFmtId="0" fontId="11" fillId="0" borderId="0" xfId="0" applyFont="1" applyAlignment="1">
      <alignment horizontal="right"/>
    </xf>
    <xf numFmtId="2" fontId="11" fillId="0" borderId="0" xfId="0" applyNumberFormat="1" applyFont="1"/>
    <xf numFmtId="164" fontId="12" fillId="0" borderId="0" xfId="1" applyNumberFormat="1" applyFont="1"/>
    <xf numFmtId="164" fontId="12" fillId="0" borderId="0" xfId="0" applyNumberFormat="1" applyFont="1"/>
    <xf numFmtId="9" fontId="11" fillId="0" borderId="0" xfId="0" applyNumberFormat="1" applyFont="1"/>
    <xf numFmtId="0" fontId="12" fillId="0" borderId="0" xfId="0" applyFont="1"/>
    <xf numFmtId="164" fontId="11" fillId="0" borderId="0" xfId="0" applyNumberFormat="1" applyFont="1"/>
    <xf numFmtId="164" fontId="11" fillId="0" borderId="0" xfId="1" applyNumberFormat="1" applyFont="1"/>
    <xf numFmtId="9" fontId="13" fillId="0" borderId="0" xfId="3" applyFont="1" applyFill="1" applyAlignment="1">
      <alignment horizontal="right"/>
    </xf>
    <xf numFmtId="9" fontId="11" fillId="0" borderId="0" xfId="3" applyFont="1"/>
    <xf numFmtId="0" fontId="11" fillId="0" borderId="0" xfId="0" applyFont="1" applyAlignment="1">
      <alignment horizontal="center"/>
    </xf>
    <xf numFmtId="0" fontId="11" fillId="0" borderId="0" xfId="5" applyFont="1" applyAlignment="1">
      <alignment horizontal="center"/>
    </xf>
    <xf numFmtId="9" fontId="11" fillId="0" borderId="0" xfId="6" applyFont="1" applyFill="1" applyBorder="1" applyAlignment="1">
      <alignment horizontal="center"/>
    </xf>
    <xf numFmtId="0" fontId="11" fillId="0" borderId="0" xfId="6" applyNumberFormat="1" applyFont="1" applyFill="1" applyBorder="1" applyAlignment="1">
      <alignment horizontal="center"/>
    </xf>
    <xf numFmtId="0" fontId="11" fillId="4" borderId="10" xfId="5" applyFont="1" applyFill="1" applyBorder="1" applyAlignment="1">
      <alignment horizontal="center"/>
    </xf>
    <xf numFmtId="9" fontId="11" fillId="4" borderId="10" xfId="6" applyFont="1" applyFill="1" applyBorder="1" applyAlignment="1">
      <alignment horizontal="center"/>
    </xf>
    <xf numFmtId="0" fontId="11" fillId="4" borderId="10" xfId="6" applyNumberFormat="1" applyFont="1" applyFill="1" applyBorder="1" applyAlignment="1">
      <alignment horizontal="center"/>
    </xf>
    <xf numFmtId="9" fontId="11" fillId="4" borderId="10" xfId="5" applyNumberFormat="1" applyFont="1" applyFill="1" applyBorder="1" applyAlignment="1">
      <alignment horizontal="center"/>
    </xf>
    <xf numFmtId="0" fontId="11" fillId="4" borderId="0" xfId="5" applyFont="1" applyFill="1" applyAlignment="1">
      <alignment wrapText="1"/>
    </xf>
    <xf numFmtId="167" fontId="11" fillId="4" borderId="0" xfId="6" applyNumberFormat="1" applyFont="1" applyFill="1" applyBorder="1" applyAlignment="1">
      <alignment horizontal="center" wrapText="1"/>
    </xf>
    <xf numFmtId="0" fontId="11" fillId="4" borderId="0" xfId="0" applyFont="1" applyFill="1"/>
    <xf numFmtId="0" fontId="11" fillId="4" borderId="0" xfId="5" applyFont="1" applyFill="1"/>
    <xf numFmtId="0" fontId="11" fillId="4" borderId="0" xfId="5" applyFont="1" applyFill="1" applyAlignment="1">
      <alignment horizontal="left" vertical="center"/>
    </xf>
    <xf numFmtId="0" fontId="11" fillId="4" borderId="0" xfId="5" quotePrefix="1" applyFont="1" applyFill="1" applyAlignment="1">
      <alignment horizontal="left" vertical="center"/>
    </xf>
    <xf numFmtId="0" fontId="15" fillId="0" borderId="0" xfId="0" applyFont="1"/>
    <xf numFmtId="167" fontId="15" fillId="0" borderId="0" xfId="3" applyNumberFormat="1" applyFont="1"/>
    <xf numFmtId="167" fontId="11" fillId="0" borderId="0" xfId="3" applyNumberFormat="1" applyFont="1"/>
    <xf numFmtId="43" fontId="15" fillId="0" borderId="0" xfId="1" applyFont="1"/>
    <xf numFmtId="1" fontId="11" fillId="0" borderId="0" xfId="0" applyNumberFormat="1" applyFont="1" applyAlignment="1">
      <alignment horizontal="center"/>
    </xf>
    <xf numFmtId="10" fontId="16" fillId="5" borderId="10" xfId="6" applyNumberFormat="1" applyFont="1" applyFill="1" applyBorder="1" applyAlignment="1">
      <alignment horizontal="center"/>
    </xf>
    <xf numFmtId="0" fontId="11" fillId="4" borderId="0" xfId="5" applyFont="1" applyFill="1" applyAlignment="1">
      <alignment horizontal="left" vertical="center" indent="10"/>
    </xf>
    <xf numFmtId="0" fontId="11" fillId="4" borderId="0" xfId="5" applyFont="1" applyFill="1" applyAlignment="1">
      <alignment horizontal="left" vertical="center" indent="5"/>
    </xf>
    <xf numFmtId="167" fontId="11" fillId="4" borderId="10" xfId="6" applyNumberFormat="1" applyFont="1" applyFill="1" applyBorder="1" applyAlignment="1">
      <alignment horizontal="center"/>
    </xf>
    <xf numFmtId="0" fontId="12" fillId="4" borderId="0" xfId="5" applyFont="1" applyFill="1" applyAlignment="1">
      <alignment horizontal="center"/>
    </xf>
    <xf numFmtId="0" fontId="11" fillId="4" borderId="0" xfId="5" applyFont="1" applyFill="1" applyAlignment="1">
      <alignment horizontal="left"/>
    </xf>
    <xf numFmtId="0" fontId="11" fillId="4" borderId="0" xfId="5" applyFont="1" applyFill="1" applyAlignment="1">
      <alignment horizontal="center"/>
    </xf>
    <xf numFmtId="3" fontId="11" fillId="4" borderId="0" xfId="5" applyNumberFormat="1" applyFont="1" applyFill="1"/>
    <xf numFmtId="167" fontId="11" fillId="4" borderId="0" xfId="5" applyNumberFormat="1" applyFont="1" applyFill="1" applyAlignment="1">
      <alignment horizontal="center"/>
    </xf>
    <xf numFmtId="169" fontId="11" fillId="4" borderId="0" xfId="5" applyNumberFormat="1" applyFont="1" applyFill="1" applyAlignment="1">
      <alignment horizontal="center"/>
    </xf>
    <xf numFmtId="170" fontId="11" fillId="4" borderId="0" xfId="5" applyNumberFormat="1" applyFont="1" applyFill="1" applyAlignment="1">
      <alignment horizontal="center"/>
    </xf>
    <xf numFmtId="0" fontId="17" fillId="4" borderId="0" xfId="5" applyFont="1" applyFill="1" applyAlignment="1">
      <alignment horizontal="center"/>
    </xf>
    <xf numFmtId="170" fontId="11" fillId="4" borderId="10" xfId="5" applyNumberFormat="1" applyFont="1" applyFill="1" applyBorder="1" applyAlignment="1">
      <alignment horizontal="center" vertical="center"/>
    </xf>
    <xf numFmtId="2" fontId="11" fillId="4" borderId="10" xfId="5" applyNumberFormat="1" applyFont="1" applyFill="1" applyBorder="1" applyAlignment="1">
      <alignment horizontal="center" vertical="center"/>
    </xf>
    <xf numFmtId="0" fontId="18" fillId="4" borderId="0" xfId="5" applyFont="1" applyFill="1" applyAlignment="1">
      <alignment horizontal="center"/>
    </xf>
    <xf numFmtId="0" fontId="11" fillId="4" borderId="0" xfId="5" applyFont="1" applyFill="1" applyAlignment="1">
      <alignment horizontal="center" wrapText="1"/>
    </xf>
    <xf numFmtId="170" fontId="11" fillId="4" borderId="0" xfId="5" applyNumberFormat="1" applyFont="1" applyFill="1" applyAlignment="1">
      <alignment horizontal="center" wrapText="1"/>
    </xf>
    <xf numFmtId="0" fontId="11" fillId="4" borderId="0" xfId="6" applyNumberFormat="1" applyFont="1" applyFill="1" applyBorder="1" applyAlignment="1">
      <alignment horizontal="center"/>
    </xf>
    <xf numFmtId="9" fontId="11" fillId="4" borderId="0" xfId="6" applyFont="1" applyFill="1" applyBorder="1" applyAlignment="1">
      <alignment horizontal="center"/>
    </xf>
    <xf numFmtId="170" fontId="11" fillId="4" borderId="0" xfId="5" applyNumberFormat="1" applyFont="1" applyFill="1"/>
    <xf numFmtId="0" fontId="12" fillId="4" borderId="0" xfId="5" applyFont="1" applyFill="1"/>
    <xf numFmtId="0" fontId="11" fillId="4" borderId="0" xfId="5" applyFont="1" applyFill="1" applyAlignment="1">
      <alignment vertical="center" wrapText="1"/>
    </xf>
    <xf numFmtId="0" fontId="12" fillId="4" borderId="0" xfId="0" applyFont="1" applyFill="1"/>
    <xf numFmtId="165" fontId="11" fillId="0" borderId="0" xfId="0" applyNumberFormat="1" applyFont="1"/>
    <xf numFmtId="165" fontId="11" fillId="0" borderId="0" xfId="2" applyNumberFormat="1" applyFont="1"/>
    <xf numFmtId="165" fontId="11" fillId="0" borderId="27" xfId="2" applyNumberFormat="1" applyFont="1" applyBorder="1"/>
    <xf numFmtId="165" fontId="11" fillId="0" borderId="29" xfId="2" applyNumberFormat="1" applyFont="1" applyBorder="1"/>
    <xf numFmtId="165" fontId="11" fillId="0" borderId="30" xfId="2" applyNumberFormat="1" applyFont="1" applyBorder="1"/>
    <xf numFmtId="165" fontId="11" fillId="0" borderId="31" xfId="2" applyNumberFormat="1" applyFont="1" applyBorder="1"/>
    <xf numFmtId="165" fontId="11" fillId="0" borderId="32" xfId="2" applyNumberFormat="1" applyFont="1" applyBorder="1"/>
    <xf numFmtId="165" fontId="11" fillId="0" borderId="33" xfId="2" applyNumberFormat="1" applyFont="1" applyBorder="1"/>
    <xf numFmtId="165" fontId="11" fillId="0" borderId="34" xfId="2" applyNumberFormat="1" applyFont="1" applyBorder="1"/>
    <xf numFmtId="165" fontId="11" fillId="0" borderId="36" xfId="2" applyNumberFormat="1" applyFont="1" applyBorder="1"/>
    <xf numFmtId="165" fontId="11" fillId="0" borderId="37" xfId="2" applyNumberFormat="1" applyFont="1" applyBorder="1"/>
    <xf numFmtId="0" fontId="12" fillId="0" borderId="0" xfId="0" applyFont="1" applyAlignment="1">
      <alignment horizontal="center"/>
    </xf>
    <xf numFmtId="0" fontId="11" fillId="4" borderId="0" xfId="0" quotePrefix="1" applyFont="1" applyFill="1" applyAlignment="1">
      <alignment horizontal="left"/>
    </xf>
    <xf numFmtId="165" fontId="11" fillId="0" borderId="28" xfId="2" applyNumberFormat="1" applyFont="1" applyBorder="1"/>
    <xf numFmtId="0" fontId="11" fillId="0" borderId="30" xfId="0" applyFont="1" applyBorder="1" applyAlignment="1">
      <alignment horizontal="center"/>
    </xf>
    <xf numFmtId="165" fontId="11" fillId="0" borderId="0" xfId="2" applyNumberFormat="1" applyFont="1" applyBorder="1"/>
    <xf numFmtId="0" fontId="11" fillId="0" borderId="33" xfId="0" applyFont="1" applyBorder="1" applyAlignment="1">
      <alignment horizontal="center"/>
    </xf>
    <xf numFmtId="44" fontId="11" fillId="0" borderId="0" xfId="2" applyFont="1"/>
    <xf numFmtId="165" fontId="11" fillId="0" borderId="35" xfId="2" applyNumberFormat="1" applyFont="1" applyBorder="1"/>
    <xf numFmtId="0" fontId="11" fillId="0" borderId="37" xfId="0" applyFont="1" applyBorder="1" applyAlignment="1">
      <alignment horizontal="center"/>
    </xf>
    <xf numFmtId="44" fontId="11" fillId="4" borderId="0" xfId="2" applyFont="1" applyFill="1"/>
    <xf numFmtId="164" fontId="11" fillId="4" borderId="0" xfId="1" applyNumberFormat="1" applyFont="1" applyFill="1"/>
    <xf numFmtId="0" fontId="11" fillId="4" borderId="0" xfId="0" applyFont="1" applyFill="1" applyAlignment="1">
      <alignment horizontal="left" wrapText="1"/>
    </xf>
    <xf numFmtId="0" fontId="11" fillId="0" borderId="0" xfId="0" applyFont="1" applyAlignment="1">
      <alignment horizontal="left"/>
    </xf>
    <xf numFmtId="0" fontId="11" fillId="4" borderId="0" xfId="0" applyFont="1" applyFill="1" applyAlignment="1">
      <alignment wrapText="1"/>
    </xf>
    <xf numFmtId="10" fontId="11" fillId="0" borderId="0" xfId="3" applyNumberFormat="1" applyFont="1"/>
    <xf numFmtId="10" fontId="12" fillId="3" borderId="0" xfId="3" applyNumberFormat="1" applyFont="1" applyFill="1"/>
    <xf numFmtId="6" fontId="11" fillId="0" borderId="0" xfId="0" applyNumberFormat="1" applyFont="1"/>
    <xf numFmtId="6" fontId="11" fillId="4" borderId="0" xfId="0" applyNumberFormat="1" applyFont="1" applyFill="1"/>
    <xf numFmtId="9" fontId="11" fillId="4" borderId="0" xfId="0" applyNumberFormat="1" applyFont="1" applyFill="1"/>
    <xf numFmtId="0" fontId="11" fillId="4" borderId="0" xfId="0" applyFont="1" applyFill="1" applyAlignment="1">
      <alignment horizontal="center"/>
    </xf>
    <xf numFmtId="10" fontId="12" fillId="0" borderId="0" xfId="3" applyNumberFormat="1" applyFont="1" applyFill="1"/>
    <xf numFmtId="171" fontId="12" fillId="3" borderId="0" xfId="3" applyNumberFormat="1" applyFont="1" applyFill="1"/>
    <xf numFmtId="0" fontId="12" fillId="3" borderId="0" xfId="0" applyFont="1" applyFill="1"/>
    <xf numFmtId="0" fontId="5" fillId="0" borderId="0" xfId="4" applyFont="1" applyAlignment="1">
      <alignment horizontal="center" wrapText="1"/>
    </xf>
    <xf numFmtId="0" fontId="4" fillId="0" borderId="0" xfId="4"/>
    <xf numFmtId="0" fontId="7" fillId="0" borderId="21" xfId="4" applyFont="1" applyBorder="1" applyAlignment="1">
      <alignment horizontal="center"/>
    </xf>
    <xf numFmtId="0" fontId="9" fillId="0" borderId="20" xfId="4" applyFont="1" applyBorder="1"/>
    <xf numFmtId="0" fontId="9" fillId="0" borderId="19" xfId="4" applyFont="1" applyBorder="1"/>
    <xf numFmtId="0" fontId="7" fillId="0" borderId="21" xfId="4" quotePrefix="1" applyFont="1" applyBorder="1" applyAlignment="1">
      <alignment horizontal="center"/>
    </xf>
    <xf numFmtId="44" fontId="2" fillId="3" borderId="0" xfId="2" applyFont="1" applyFill="1" applyBorder="1" applyAlignment="1">
      <alignment horizontal="center" vertical="center"/>
    </xf>
    <xf numFmtId="0" fontId="0" fillId="0" borderId="0" xfId="0"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165" fontId="11" fillId="0" borderId="0" xfId="2" applyNumberFormat="1" applyFont="1" applyBorder="1" applyAlignment="1">
      <alignment horizontal="center"/>
    </xf>
    <xf numFmtId="165" fontId="11" fillId="0" borderId="28" xfId="2" applyNumberFormat="1" applyFont="1" applyBorder="1" applyAlignment="1">
      <alignment horizontal="center"/>
    </xf>
    <xf numFmtId="165" fontId="11" fillId="0" borderId="35" xfId="2" applyNumberFormat="1" applyFont="1" applyBorder="1" applyAlignment="1">
      <alignment horizontal="center"/>
    </xf>
    <xf numFmtId="0" fontId="12" fillId="0" borderId="28" xfId="0" applyFont="1" applyBorder="1" applyAlignment="1">
      <alignment horizontal="center"/>
    </xf>
    <xf numFmtId="0" fontId="11" fillId="0" borderId="44" xfId="0" applyFont="1" applyBorder="1" applyAlignment="1">
      <alignment horizontal="left" wrapText="1"/>
    </xf>
    <xf numFmtId="0" fontId="11" fillId="0" borderId="6" xfId="0" applyFont="1" applyBorder="1" applyAlignment="1">
      <alignment horizontal="left" wrapText="1"/>
    </xf>
    <xf numFmtId="0" fontId="11" fillId="0" borderId="7" xfId="0" applyFont="1" applyBorder="1" applyAlignment="1">
      <alignment horizontal="left" wrapText="1"/>
    </xf>
    <xf numFmtId="0" fontId="11" fillId="0" borderId="5" xfId="0" applyFont="1" applyBorder="1" applyAlignment="1">
      <alignment horizontal="left" wrapText="1"/>
    </xf>
    <xf numFmtId="0" fontId="11" fillId="0" borderId="43" xfId="0" applyFont="1" applyBorder="1" applyAlignment="1">
      <alignment horizontal="left" wrapText="1"/>
    </xf>
    <xf numFmtId="0" fontId="11" fillId="0" borderId="42" xfId="0" applyFont="1" applyBorder="1" applyAlignment="1">
      <alignment horizontal="left" wrapText="1"/>
    </xf>
    <xf numFmtId="0" fontId="11" fillId="0" borderId="39" xfId="0" applyFont="1" applyBorder="1" applyAlignment="1">
      <alignment horizontal="left" wrapText="1"/>
    </xf>
    <xf numFmtId="0" fontId="11" fillId="0" borderId="41" xfId="0" applyFont="1" applyBorder="1" applyAlignment="1">
      <alignment horizontal="left" wrapText="1"/>
    </xf>
    <xf numFmtId="0" fontId="11" fillId="0" borderId="40" xfId="0" applyFont="1" applyBorder="1" applyAlignment="1">
      <alignment horizontal="left" wrapText="1"/>
    </xf>
    <xf numFmtId="0" fontId="11" fillId="0" borderId="38" xfId="0" applyFont="1" applyBorder="1" applyAlignment="1">
      <alignment horizontal="left" wrapText="1"/>
    </xf>
    <xf numFmtId="0" fontId="11" fillId="4" borderId="0" xfId="0" applyFont="1" applyFill="1" applyAlignment="1">
      <alignment horizontal="left" wrapText="1"/>
    </xf>
    <xf numFmtId="0" fontId="11" fillId="0" borderId="51" xfId="0" quotePrefix="1" applyFont="1" applyBorder="1" applyAlignment="1">
      <alignment horizontal="center"/>
    </xf>
    <xf numFmtId="0" fontId="11" fillId="0" borderId="48" xfId="0" quotePrefix="1" applyFont="1" applyBorder="1" applyAlignment="1">
      <alignment horizontal="center"/>
    </xf>
    <xf numFmtId="0" fontId="11" fillId="0" borderId="50" xfId="0" quotePrefix="1" applyFont="1" applyBorder="1" applyAlignment="1">
      <alignment horizontal="center"/>
    </xf>
    <xf numFmtId="0" fontId="11" fillId="0" borderId="49" xfId="0" applyFont="1" applyBorder="1" applyAlignment="1">
      <alignment horizontal="center"/>
    </xf>
    <xf numFmtId="0" fontId="11" fillId="0" borderId="48" xfId="0" applyFont="1" applyBorder="1" applyAlignment="1">
      <alignment horizontal="center"/>
    </xf>
    <xf numFmtId="0" fontId="11" fillId="0" borderId="47" xfId="0" applyFont="1" applyBorder="1" applyAlignment="1">
      <alignment horizontal="center"/>
    </xf>
    <xf numFmtId="0" fontId="11" fillId="0" borderId="46"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0" fontId="11" fillId="0" borderId="12" xfId="0" applyFont="1" applyBorder="1" applyAlignment="1">
      <alignment horizontal="left" wrapText="1"/>
    </xf>
    <xf numFmtId="0" fontId="11" fillId="0" borderId="45" xfId="0" applyFont="1" applyBorder="1" applyAlignment="1">
      <alignment horizontal="left" wrapText="1"/>
    </xf>
  </cellXfs>
  <cellStyles count="7">
    <cellStyle name="Comma" xfId="1" builtinId="3"/>
    <cellStyle name="Currency" xfId="2" builtinId="4"/>
    <cellStyle name="Normal" xfId="0" builtinId="0"/>
    <cellStyle name="Normal 2" xfId="4" xr:uid="{65067CF3-9FE0-44A9-BAFF-6A2684F82DF8}"/>
    <cellStyle name="Normal 2 2" xfId="5" xr:uid="{2CBE5248-E853-49E0-9555-7205D01F63D4}"/>
    <cellStyle name="Percent" xfId="3" builtinId="5"/>
    <cellStyle name="Percent 2 2" xfId="6" xr:uid="{BE9574DB-8EE4-4C25-A987-53C5250CA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 Flows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'Q5'!$D$38</c:f>
              <c:strCache>
                <c:ptCount val="1"/>
                <c:pt idx="0">
                  <c:v>Fully Insured</c:v>
                </c:pt>
              </c:strCache>
            </c:strRef>
          </c:tx>
          <c:spPr>
            <a:ln w="19050" cap="rnd">
              <a:solidFill>
                <a:schemeClr val="accent1"/>
              </a:solidFill>
              <a:round/>
            </a:ln>
            <a:effectLst/>
          </c:spPr>
          <c:marker>
            <c:symbol val="none"/>
          </c:marker>
          <c:xVal>
            <c:numRef>
              <c:f>'Q5'!$B$39:$B$50</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'Q5'!$D$39:$D$50</c:f>
              <c:numCache>
                <c:formatCode>_("$"* #,##0_);_("$"* \(#,##0\);_("$"* "-"??_);_(@_)</c:formatCode>
                <c:ptCount val="12"/>
                <c:pt idx="0">
                  <c:v>1350000</c:v>
                </c:pt>
                <c:pt idx="1">
                  <c:v>1350000</c:v>
                </c:pt>
                <c:pt idx="2">
                  <c:v>1350000</c:v>
                </c:pt>
                <c:pt idx="3">
                  <c:v>1350000</c:v>
                </c:pt>
                <c:pt idx="4">
                  <c:v>1350000</c:v>
                </c:pt>
                <c:pt idx="5">
                  <c:v>1350000</c:v>
                </c:pt>
                <c:pt idx="6">
                  <c:v>1350000</c:v>
                </c:pt>
                <c:pt idx="7">
                  <c:v>1350000</c:v>
                </c:pt>
                <c:pt idx="8">
                  <c:v>1350000</c:v>
                </c:pt>
                <c:pt idx="9">
                  <c:v>1350000</c:v>
                </c:pt>
                <c:pt idx="10">
                  <c:v>1350000</c:v>
                </c:pt>
                <c:pt idx="11">
                  <c:v>1350000</c:v>
                </c:pt>
              </c:numCache>
            </c:numRef>
          </c:yVal>
          <c:smooth val="0"/>
          <c:extLst>
            <c:ext xmlns:c16="http://schemas.microsoft.com/office/drawing/2014/chart" uri="{C3380CC4-5D6E-409C-BE32-E72D297353CC}">
              <c16:uniqueId val="{00000000-9052-4D9F-85DC-00627894CA53}"/>
            </c:ext>
          </c:extLst>
        </c:ser>
        <c:ser>
          <c:idx val="1"/>
          <c:order val="1"/>
          <c:tx>
            <c:strRef>
              <c:f>'Q5'!$F$38</c:f>
              <c:strCache>
                <c:ptCount val="1"/>
                <c:pt idx="0">
                  <c:v>Level Funded</c:v>
                </c:pt>
              </c:strCache>
            </c:strRef>
          </c:tx>
          <c:spPr>
            <a:ln w="19050" cap="rnd">
              <a:solidFill>
                <a:schemeClr val="accent2"/>
              </a:solidFill>
              <a:round/>
            </a:ln>
            <a:effectLst/>
          </c:spPr>
          <c:marker>
            <c:symbol val="none"/>
          </c:marker>
          <c:xVal>
            <c:numRef>
              <c:f>'Q5'!$B$39:$B$50</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'Q5'!$F$39:$F$50</c:f>
              <c:numCache>
                <c:formatCode>_("$"* #,##0_);_("$"* \(#,##0\);_("$"* "-"??_);_(@_)</c:formatCode>
                <c:ptCount val="12"/>
                <c:pt idx="0">
                  <c:v>1260000</c:v>
                </c:pt>
                <c:pt idx="1">
                  <c:v>1260000</c:v>
                </c:pt>
                <c:pt idx="2">
                  <c:v>1260000</c:v>
                </c:pt>
                <c:pt idx="3">
                  <c:v>1260000</c:v>
                </c:pt>
                <c:pt idx="4">
                  <c:v>1260000</c:v>
                </c:pt>
                <c:pt idx="5">
                  <c:v>1260000</c:v>
                </c:pt>
                <c:pt idx="6">
                  <c:v>1260000</c:v>
                </c:pt>
                <c:pt idx="7">
                  <c:v>1260000</c:v>
                </c:pt>
                <c:pt idx="8">
                  <c:v>1260000</c:v>
                </c:pt>
                <c:pt idx="9">
                  <c:v>1260000</c:v>
                </c:pt>
                <c:pt idx="10">
                  <c:v>1260000</c:v>
                </c:pt>
                <c:pt idx="11">
                  <c:v>1260000</c:v>
                </c:pt>
              </c:numCache>
            </c:numRef>
          </c:yVal>
          <c:smooth val="0"/>
          <c:extLst>
            <c:ext xmlns:c16="http://schemas.microsoft.com/office/drawing/2014/chart" uri="{C3380CC4-5D6E-409C-BE32-E72D297353CC}">
              <c16:uniqueId val="{00000001-9052-4D9F-85DC-00627894CA53}"/>
            </c:ext>
          </c:extLst>
        </c:ser>
        <c:ser>
          <c:idx val="2"/>
          <c:order val="2"/>
          <c:tx>
            <c:strRef>
              <c:f>'Q5'!$G$38</c:f>
              <c:strCache>
                <c:ptCount val="1"/>
                <c:pt idx="0">
                  <c:v>Self-Funded</c:v>
                </c:pt>
              </c:strCache>
            </c:strRef>
          </c:tx>
          <c:spPr>
            <a:ln w="19050" cap="rnd">
              <a:solidFill>
                <a:schemeClr val="accent3"/>
              </a:solidFill>
              <a:round/>
            </a:ln>
            <a:effectLst/>
          </c:spPr>
          <c:marker>
            <c:symbol val="none"/>
          </c:marker>
          <c:xVal>
            <c:numRef>
              <c:f>'Q5'!$B$39:$B$50</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'Q5'!$G$39:$G$50</c:f>
              <c:numCache>
                <c:formatCode>_("$"* #,##0_);_("$"* \(#,##0\);_("$"* "-"??_);_(@_)</c:formatCode>
                <c:ptCount val="12"/>
                <c:pt idx="0">
                  <c:v>755000</c:v>
                </c:pt>
                <c:pt idx="1">
                  <c:v>682000</c:v>
                </c:pt>
                <c:pt idx="2">
                  <c:v>934000</c:v>
                </c:pt>
                <c:pt idx="3">
                  <c:v>1140000</c:v>
                </c:pt>
                <c:pt idx="4">
                  <c:v>1974000</c:v>
                </c:pt>
                <c:pt idx="5">
                  <c:v>878000</c:v>
                </c:pt>
                <c:pt idx="6">
                  <c:v>1070000</c:v>
                </c:pt>
                <c:pt idx="7">
                  <c:v>3455000</c:v>
                </c:pt>
                <c:pt idx="8">
                  <c:v>1044000</c:v>
                </c:pt>
                <c:pt idx="9">
                  <c:v>1455000</c:v>
                </c:pt>
                <c:pt idx="10">
                  <c:v>678000</c:v>
                </c:pt>
                <c:pt idx="11">
                  <c:v>1243000</c:v>
                </c:pt>
              </c:numCache>
            </c:numRef>
          </c:yVal>
          <c:smooth val="0"/>
          <c:extLst>
            <c:ext xmlns:c16="http://schemas.microsoft.com/office/drawing/2014/chart" uri="{C3380CC4-5D6E-409C-BE32-E72D297353CC}">
              <c16:uniqueId val="{00000002-9052-4D9F-85DC-00627894CA53}"/>
            </c:ext>
          </c:extLst>
        </c:ser>
        <c:dLbls>
          <c:showLegendKey val="0"/>
          <c:showVal val="0"/>
          <c:showCatName val="0"/>
          <c:showSerName val="0"/>
          <c:showPercent val="0"/>
          <c:showBubbleSize val="0"/>
        </c:dLbls>
        <c:axId val="547921103"/>
        <c:axId val="537609359"/>
      </c:scatterChart>
      <c:valAx>
        <c:axId val="547921103"/>
        <c:scaling>
          <c:orientation val="minMax"/>
          <c:max val="1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609359"/>
        <c:crosses val="autoZero"/>
        <c:crossBetween val="midCat"/>
        <c:majorUnit val="1"/>
      </c:valAx>
      <c:valAx>
        <c:axId val="537609359"/>
        <c:scaling>
          <c:orientation val="minMax"/>
          <c:max val="2500000"/>
          <c:min val="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Cash Flow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9211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Claim Exposure for Company ABC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'Q5'!$C$98</c:f>
              <c:strCache>
                <c:ptCount val="1"/>
                <c:pt idx="0">
                  <c:v>Fully Insured</c:v>
                </c:pt>
              </c:strCache>
            </c:strRef>
          </c:tx>
          <c:spPr>
            <a:ln w="19050" cap="rnd">
              <a:solidFill>
                <a:schemeClr val="accent1"/>
              </a:solidFill>
              <a:round/>
            </a:ln>
            <a:effectLst/>
          </c:spPr>
          <c:marker>
            <c:symbol val="none"/>
          </c:marker>
          <c:xVal>
            <c:numRef>
              <c:f>'Q5'!$B$99:$B$108</c:f>
              <c:numCache>
                <c:formatCode>_("$"* #,##0_);_("$"* \(#,##0\);_("$"* "-"??_);_(@_)</c:formatCode>
                <c:ptCount val="10"/>
                <c:pt idx="0">
                  <c:v>5000000</c:v>
                </c:pt>
                <c:pt idx="1">
                  <c:v>6000000</c:v>
                </c:pt>
                <c:pt idx="2">
                  <c:v>7000000</c:v>
                </c:pt>
                <c:pt idx="3">
                  <c:v>8000000</c:v>
                </c:pt>
                <c:pt idx="4">
                  <c:v>9000000</c:v>
                </c:pt>
                <c:pt idx="5">
                  <c:v>10000000</c:v>
                </c:pt>
                <c:pt idx="6">
                  <c:v>11000000</c:v>
                </c:pt>
                <c:pt idx="7">
                  <c:v>12000000</c:v>
                </c:pt>
                <c:pt idx="8">
                  <c:v>13000000</c:v>
                </c:pt>
                <c:pt idx="9">
                  <c:v>14000000</c:v>
                </c:pt>
              </c:numCache>
            </c:numRef>
          </c:xVal>
          <c:yVal>
            <c:numRef>
              <c:f>'Q5'!$C$99:$C$108</c:f>
              <c:numCache>
                <c:formatCode>_("$"* #,##0_);_("$"* \(#,##0\);_("$"* "-"??_);_(@_)</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86E9-4FF9-9BA5-1A29B7353B62}"/>
            </c:ext>
          </c:extLst>
        </c:ser>
        <c:ser>
          <c:idx val="1"/>
          <c:order val="1"/>
          <c:tx>
            <c:strRef>
              <c:f>'Q5'!$D$98</c:f>
              <c:strCache>
                <c:ptCount val="1"/>
                <c:pt idx="0">
                  <c:v>Level Funded</c:v>
                </c:pt>
              </c:strCache>
            </c:strRef>
          </c:tx>
          <c:spPr>
            <a:ln w="19050" cap="rnd">
              <a:solidFill>
                <a:schemeClr val="accent2"/>
              </a:solidFill>
              <a:round/>
            </a:ln>
            <a:effectLst/>
          </c:spPr>
          <c:marker>
            <c:symbol val="none"/>
          </c:marker>
          <c:xVal>
            <c:numRef>
              <c:f>'Q5'!$B$99:$B$108</c:f>
              <c:numCache>
                <c:formatCode>_("$"* #,##0_);_("$"* \(#,##0\);_("$"* "-"??_);_(@_)</c:formatCode>
                <c:ptCount val="10"/>
                <c:pt idx="0">
                  <c:v>5000000</c:v>
                </c:pt>
                <c:pt idx="1">
                  <c:v>6000000</c:v>
                </c:pt>
                <c:pt idx="2">
                  <c:v>7000000</c:v>
                </c:pt>
                <c:pt idx="3">
                  <c:v>8000000</c:v>
                </c:pt>
                <c:pt idx="4">
                  <c:v>9000000</c:v>
                </c:pt>
                <c:pt idx="5">
                  <c:v>10000000</c:v>
                </c:pt>
                <c:pt idx="6">
                  <c:v>11000000</c:v>
                </c:pt>
                <c:pt idx="7">
                  <c:v>12000000</c:v>
                </c:pt>
                <c:pt idx="8">
                  <c:v>13000000</c:v>
                </c:pt>
                <c:pt idx="9">
                  <c:v>14000000</c:v>
                </c:pt>
              </c:numCache>
            </c:numRef>
          </c:xVal>
          <c:yVal>
            <c:numRef>
              <c:f>'Q5'!$D$99:$D$108</c:f>
              <c:numCache>
                <c:formatCode>_("$"* #,##0_);_("$"* \(#,##0\);_("$"* "-"??_);_(@_)</c:formatCode>
                <c:ptCount val="10"/>
                <c:pt idx="0">
                  <c:v>5000000</c:v>
                </c:pt>
                <c:pt idx="1">
                  <c:v>6000000</c:v>
                </c:pt>
                <c:pt idx="2">
                  <c:v>7000000</c:v>
                </c:pt>
                <c:pt idx="3">
                  <c:v>8000000</c:v>
                </c:pt>
                <c:pt idx="4">
                  <c:v>9000000</c:v>
                </c:pt>
                <c:pt idx="5">
                  <c:v>10000000</c:v>
                </c:pt>
                <c:pt idx="6">
                  <c:v>10620000</c:v>
                </c:pt>
                <c:pt idx="7">
                  <c:v>10620000</c:v>
                </c:pt>
                <c:pt idx="8">
                  <c:v>10620000</c:v>
                </c:pt>
                <c:pt idx="9">
                  <c:v>10620000</c:v>
                </c:pt>
              </c:numCache>
            </c:numRef>
          </c:yVal>
          <c:smooth val="0"/>
          <c:extLst>
            <c:ext xmlns:c16="http://schemas.microsoft.com/office/drawing/2014/chart" uri="{C3380CC4-5D6E-409C-BE32-E72D297353CC}">
              <c16:uniqueId val="{00000001-86E9-4FF9-9BA5-1A29B7353B62}"/>
            </c:ext>
          </c:extLst>
        </c:ser>
        <c:ser>
          <c:idx val="2"/>
          <c:order val="2"/>
          <c:tx>
            <c:strRef>
              <c:f>'Q5'!$F$98</c:f>
              <c:strCache>
                <c:ptCount val="1"/>
                <c:pt idx="0">
                  <c:v>Self-Funded</c:v>
                </c:pt>
              </c:strCache>
            </c:strRef>
          </c:tx>
          <c:spPr>
            <a:ln w="19050" cap="rnd">
              <a:solidFill>
                <a:schemeClr val="accent3"/>
              </a:solidFill>
              <a:round/>
            </a:ln>
            <a:effectLst/>
          </c:spPr>
          <c:marker>
            <c:symbol val="none"/>
          </c:marker>
          <c:xVal>
            <c:numRef>
              <c:f>'Q5'!$B$99:$B$108</c:f>
              <c:numCache>
                <c:formatCode>_("$"* #,##0_);_("$"* \(#,##0\);_("$"* "-"??_);_(@_)</c:formatCode>
                <c:ptCount val="10"/>
                <c:pt idx="0">
                  <c:v>5000000</c:v>
                </c:pt>
                <c:pt idx="1">
                  <c:v>6000000</c:v>
                </c:pt>
                <c:pt idx="2">
                  <c:v>7000000</c:v>
                </c:pt>
                <c:pt idx="3">
                  <c:v>8000000</c:v>
                </c:pt>
                <c:pt idx="4">
                  <c:v>9000000</c:v>
                </c:pt>
                <c:pt idx="5">
                  <c:v>10000000</c:v>
                </c:pt>
                <c:pt idx="6">
                  <c:v>11000000</c:v>
                </c:pt>
                <c:pt idx="7">
                  <c:v>12000000</c:v>
                </c:pt>
                <c:pt idx="8">
                  <c:v>13000000</c:v>
                </c:pt>
                <c:pt idx="9">
                  <c:v>14000000</c:v>
                </c:pt>
              </c:numCache>
            </c:numRef>
          </c:xVal>
          <c:yVal>
            <c:numRef>
              <c:f>'Q5'!$F$99:$F$108</c:f>
              <c:numCache>
                <c:formatCode>_("$"* #,##0_);_("$"* \(#,##0\);_("$"* "-"??_);_(@_)</c:formatCode>
                <c:ptCount val="10"/>
                <c:pt idx="0">
                  <c:v>5000000</c:v>
                </c:pt>
                <c:pt idx="1">
                  <c:v>6000000</c:v>
                </c:pt>
                <c:pt idx="2">
                  <c:v>7000000</c:v>
                </c:pt>
                <c:pt idx="3">
                  <c:v>8000000</c:v>
                </c:pt>
                <c:pt idx="4">
                  <c:v>9000000</c:v>
                </c:pt>
                <c:pt idx="5">
                  <c:v>10000000</c:v>
                </c:pt>
                <c:pt idx="6">
                  <c:v>11000000</c:v>
                </c:pt>
                <c:pt idx="7">
                  <c:v>12000000</c:v>
                </c:pt>
                <c:pt idx="8">
                  <c:v>13000000</c:v>
                </c:pt>
                <c:pt idx="9">
                  <c:v>14000000</c:v>
                </c:pt>
              </c:numCache>
            </c:numRef>
          </c:yVal>
          <c:smooth val="0"/>
          <c:extLst>
            <c:ext xmlns:c16="http://schemas.microsoft.com/office/drawing/2014/chart" uri="{C3380CC4-5D6E-409C-BE32-E72D297353CC}">
              <c16:uniqueId val="{00000002-86E9-4FF9-9BA5-1A29B7353B62}"/>
            </c:ext>
          </c:extLst>
        </c:ser>
        <c:dLbls>
          <c:showLegendKey val="0"/>
          <c:showVal val="0"/>
          <c:showCatName val="0"/>
          <c:showSerName val="0"/>
          <c:showPercent val="0"/>
          <c:showBubbleSize val="0"/>
        </c:dLbls>
        <c:axId val="1335367087"/>
        <c:axId val="1335380047"/>
      </c:scatterChart>
      <c:valAx>
        <c:axId val="1335367087"/>
        <c:scaling>
          <c:orientation val="minMax"/>
          <c:max val="14000000"/>
          <c:min val="500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Annual</a:t>
                </a:r>
                <a:r>
                  <a:rPr lang="en-US" baseline="0"/>
                  <a:t> Claims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5380047"/>
        <c:crosses val="autoZero"/>
        <c:crossBetween val="midCat"/>
      </c:valAx>
      <c:valAx>
        <c:axId val="1335380047"/>
        <c:scaling>
          <c:orientation val="minMax"/>
          <c:max val="150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Claim</a:t>
                </a:r>
                <a:r>
                  <a:rPr lang="en-US" baseline="0"/>
                  <a:t> Exposure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5367087"/>
        <c:crosses val="autoZero"/>
        <c:crossBetween val="midCat"/>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56963</xdr:colOff>
      <xdr:row>82</xdr:row>
      <xdr:rowOff>104589</xdr:rowOff>
    </xdr:from>
    <xdr:ext cx="6540500" cy="1934882"/>
    <xdr:sp macro="" textlink="">
      <xdr:nvSpPr>
        <xdr:cNvPr id="2" name="TextBox 1">
          <a:extLst>
            <a:ext uri="{FF2B5EF4-FFF2-40B4-BE49-F238E27FC236}">
              <a16:creationId xmlns:a16="http://schemas.microsoft.com/office/drawing/2014/main" id="{E601A62B-ADAE-4D77-9024-BE89EDFF916A}"/>
            </a:ext>
          </a:extLst>
        </xdr:cNvPr>
        <xdr:cNvSpPr txBox="1"/>
      </xdr:nvSpPr>
      <xdr:spPr>
        <a:xfrm>
          <a:off x="651323" y="15100749"/>
          <a:ext cx="6540500" cy="193488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Self-funded arrangements</a:t>
          </a:r>
          <a:r>
            <a:rPr lang="en-US" sz="1100" baseline="0">
              <a:solidFill>
                <a:schemeClr val="tx1"/>
              </a:solidFill>
              <a:effectLst/>
              <a:latin typeface="+mn-lt"/>
              <a:ea typeface="+mn-ea"/>
              <a:cs typeface="+mn-cs"/>
            </a:rPr>
            <a:t> are subject to significant volatility, as shown by the chart. Claims vary each month, and the plan was hit with catastrophic claims in August. </a:t>
          </a:r>
          <a:endParaRPr lang="en-US">
            <a:effectLst/>
          </a:endParaRPr>
        </a:p>
        <a:p>
          <a:r>
            <a:rPr lang="en-US" sz="1100" baseline="0">
              <a:solidFill>
                <a:schemeClr val="tx1"/>
              </a:solidFill>
              <a:effectLst/>
              <a:latin typeface="+mn-lt"/>
              <a:ea typeface="+mn-ea"/>
              <a:cs typeface="+mn-cs"/>
            </a:rPr>
            <a:t>Meanwhile, fully insured and level funded arrangements allow the company to pay a flat cost each month. The level funded arrangement is the best for Company ABC, as it has the lowest monthly costs and eliminates claim volatility. Additionally, Company ABC could benefit in the future if annual PMPM claims are beneath the maximum liability, then they would recieve a surplus payment from the insurer.</a:t>
          </a:r>
          <a:endParaRPr lang="en-US">
            <a:effectLst/>
          </a:endParaRPr>
        </a:p>
      </xdr:txBody>
    </xdr:sp>
    <xdr:clientData/>
  </xdr:oneCellAnchor>
  <xdr:twoCellAnchor>
    <xdr:from>
      <xdr:col>0</xdr:col>
      <xdr:colOff>590550</xdr:colOff>
      <xdr:row>51</xdr:row>
      <xdr:rowOff>4762</xdr:rowOff>
    </xdr:from>
    <xdr:to>
      <xdr:col>7</xdr:col>
      <xdr:colOff>57150</xdr:colOff>
      <xdr:row>65</xdr:row>
      <xdr:rowOff>100012</xdr:rowOff>
    </xdr:to>
    <xdr:graphicFrame macro="">
      <xdr:nvGraphicFramePr>
        <xdr:cNvPr id="3" name="Chart 2">
          <a:extLst>
            <a:ext uri="{FF2B5EF4-FFF2-40B4-BE49-F238E27FC236}">
              <a16:creationId xmlns:a16="http://schemas.microsoft.com/office/drawing/2014/main" id="{A424DFEA-32C4-4CEA-8CF2-65FB1793A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2614</xdr:colOff>
      <xdr:row>69</xdr:row>
      <xdr:rowOff>117101</xdr:rowOff>
    </xdr:from>
    <xdr:ext cx="6540500" cy="1104340"/>
    <xdr:sp macro="" textlink="">
      <xdr:nvSpPr>
        <xdr:cNvPr id="4" name="TextBox 3">
          <a:extLst>
            <a:ext uri="{FF2B5EF4-FFF2-40B4-BE49-F238E27FC236}">
              <a16:creationId xmlns:a16="http://schemas.microsoft.com/office/drawing/2014/main" id="{B59B766F-95F3-4DE9-A18B-31BF8BF38920}"/>
            </a:ext>
          </a:extLst>
        </xdr:cNvPr>
        <xdr:cNvSpPr txBox="1"/>
      </xdr:nvSpPr>
      <xdr:spPr>
        <a:xfrm>
          <a:off x="596974" y="12735821"/>
          <a:ext cx="6540500" cy="110434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Under</a:t>
          </a:r>
          <a:r>
            <a:rPr lang="en-US" sz="1100" baseline="0">
              <a:solidFill>
                <a:schemeClr val="tx1"/>
              </a:solidFill>
              <a:effectLst/>
              <a:latin typeface="+mn-lt"/>
              <a:ea typeface="+mn-ea"/>
              <a:cs typeface="+mn-cs"/>
            </a:rPr>
            <a:t> the level funded plan, Company ABC pays the flat premium of $420 PMPM. However, if the claims are under the maximum liability of $295 PMPM, the insurer would reduce premiums the following year. However, since annual claims are $340 PMPM, which is above the maximum liability, this does not occur.</a:t>
          </a:r>
          <a:endParaRPr lang="en-US">
            <a:effectLst/>
          </a:endParaRPr>
        </a:p>
      </xdr:txBody>
    </xdr:sp>
    <xdr:clientData/>
  </xdr:oneCellAnchor>
  <xdr:twoCellAnchor>
    <xdr:from>
      <xdr:col>0</xdr:col>
      <xdr:colOff>600075</xdr:colOff>
      <xdr:row>108</xdr:row>
      <xdr:rowOff>185737</xdr:rowOff>
    </xdr:from>
    <xdr:to>
      <xdr:col>7</xdr:col>
      <xdr:colOff>66675</xdr:colOff>
      <xdr:row>123</xdr:row>
      <xdr:rowOff>90487</xdr:rowOff>
    </xdr:to>
    <xdr:graphicFrame macro="">
      <xdr:nvGraphicFramePr>
        <xdr:cNvPr id="5" name="Chart 4">
          <a:extLst>
            <a:ext uri="{FF2B5EF4-FFF2-40B4-BE49-F238E27FC236}">
              <a16:creationId xmlns:a16="http://schemas.microsoft.com/office/drawing/2014/main" id="{06874BFA-4518-484E-83E8-CDDF235FC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161551</xdr:colOff>
      <xdr:row>140</xdr:row>
      <xdr:rowOff>186765</xdr:rowOff>
    </xdr:from>
    <xdr:ext cx="6540500" cy="1297919"/>
    <xdr:sp macro="" textlink="">
      <xdr:nvSpPr>
        <xdr:cNvPr id="6" name="TextBox 5">
          <a:extLst>
            <a:ext uri="{FF2B5EF4-FFF2-40B4-BE49-F238E27FC236}">
              <a16:creationId xmlns:a16="http://schemas.microsoft.com/office/drawing/2014/main" id="{2DD9BBBE-57B2-4429-844C-B21F3C155128}"/>
            </a:ext>
          </a:extLst>
        </xdr:cNvPr>
        <xdr:cNvSpPr txBox="1"/>
      </xdr:nvSpPr>
      <xdr:spPr>
        <a:xfrm>
          <a:off x="755911" y="25782345"/>
          <a:ext cx="6540500" cy="129791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lang="en-US" sz="1100">
              <a:solidFill>
                <a:schemeClr val="tx1"/>
              </a:solidFill>
              <a:effectLst/>
              <a:latin typeface="+mn-lt"/>
              <a:ea typeface="+mn-ea"/>
              <a:cs typeface="+mn-cs"/>
            </a:rPr>
            <a:t>The chart shows that fully insured groups</a:t>
          </a:r>
          <a:r>
            <a:rPr lang="en-US" sz="1100" baseline="0">
              <a:solidFill>
                <a:schemeClr val="tx1"/>
              </a:solidFill>
              <a:effectLst/>
              <a:latin typeface="+mn-lt"/>
              <a:ea typeface="+mn-ea"/>
              <a:cs typeface="+mn-cs"/>
            </a:rPr>
            <a:t> have no claims exposure, so the claim liability remains at 0 no matter the claim amount. They pay a fixed premium and all claims are covered by the insurer. </a:t>
          </a:r>
          <a:endParaRPr lang="en-US">
            <a:effectLst/>
          </a:endParaRPr>
        </a:p>
        <a:p>
          <a:pPr eaLnBrk="1" fontAlgn="auto" latinLnBrk="0" hangingPunct="1"/>
          <a:r>
            <a:rPr lang="en-US" sz="1100" baseline="0">
              <a:solidFill>
                <a:schemeClr val="tx1"/>
              </a:solidFill>
              <a:effectLst/>
              <a:latin typeface="+mn-lt"/>
              <a:ea typeface="+mn-ea"/>
              <a:cs typeface="+mn-cs"/>
            </a:rPr>
            <a:t>The self funded plan are fully exposed to all claim costs no matter how high they go, aside from any covered by stop loss. This causes the cost curve to increase with claim costs. </a:t>
          </a:r>
          <a:endParaRPr lang="en-US">
            <a:effectLst/>
          </a:endParaRPr>
        </a:p>
        <a:p>
          <a:pPr eaLnBrk="1" fontAlgn="auto" latinLnBrk="0" hangingPunct="1"/>
          <a:r>
            <a:rPr lang="en-US" sz="1100" baseline="0">
              <a:solidFill>
                <a:schemeClr val="tx1"/>
              </a:solidFill>
              <a:effectLst/>
              <a:latin typeface="+mn-lt"/>
              <a:ea typeface="+mn-ea"/>
              <a:cs typeface="+mn-cs"/>
            </a:rPr>
            <a:t>Level funded plan is responsible for all claims up to the aggregate stop loss attachment point. This is shows by the line overlapping with the self insured line before flattening out horizontally while the self insured line continues. </a:t>
          </a:r>
          <a:endParaRPr lang="en-US">
            <a:effectLst/>
          </a:endParaRPr>
        </a:p>
      </xdr:txBody>
    </xdr:sp>
    <xdr:clientData/>
  </xdr:oneCellAnchor>
  <xdr:oneCellAnchor>
    <xdr:from>
      <xdr:col>0</xdr:col>
      <xdr:colOff>535081</xdr:colOff>
      <xdr:row>155</xdr:row>
      <xdr:rowOff>14940</xdr:rowOff>
    </xdr:from>
    <xdr:ext cx="6540500" cy="1127553"/>
    <xdr:sp macro="" textlink="">
      <xdr:nvSpPr>
        <xdr:cNvPr id="7" name="TextBox 6">
          <a:extLst>
            <a:ext uri="{FF2B5EF4-FFF2-40B4-BE49-F238E27FC236}">
              <a16:creationId xmlns:a16="http://schemas.microsoft.com/office/drawing/2014/main" id="{FA2C9435-59F9-403C-BC3B-0EA1B4018FD4}"/>
            </a:ext>
          </a:extLst>
        </xdr:cNvPr>
        <xdr:cNvSpPr txBox="1"/>
      </xdr:nvSpPr>
      <xdr:spPr>
        <a:xfrm>
          <a:off x="535081" y="28361340"/>
          <a:ext cx="6540500" cy="112755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eaLnBrk="1" fontAlgn="auto" latinLnBrk="0" hangingPunct="1"/>
          <a:r>
            <a:rPr lang="en-US" sz="1100" baseline="0">
              <a:solidFill>
                <a:schemeClr val="tx1"/>
              </a:solidFill>
              <a:effectLst/>
              <a:latin typeface="+mn-lt"/>
              <a:ea typeface="+mn-ea"/>
              <a:cs typeface="+mn-cs"/>
            </a:rPr>
            <a:t>I would recommend the level funding arrangement to the CFO. This is because the level funding arrangement would benefit from the advantages of self funding, namely receiving reimbursement when there is favorable experience, while limiting the downsides of self funding, namely having a maximum claims liability for years with large aggregate claims. Additionally, while the fully insured method assumes all claims liability and has consistent cash flows, the cost of the level funding product has a lower PMPM compared to the fully insured PMPM, leading to cost savings overall for the group.</a:t>
          </a:r>
        </a:p>
      </xdr:txBody>
    </xdr:sp>
    <xdr:clientData/>
  </xdr:oneCellAnchor>
  <xdr:twoCellAnchor>
    <xdr:from>
      <xdr:col>1</xdr:col>
      <xdr:colOff>145677</xdr:colOff>
      <xdr:row>128</xdr:row>
      <xdr:rowOff>44822</xdr:rowOff>
    </xdr:from>
    <xdr:to>
      <xdr:col>6</xdr:col>
      <xdr:colOff>1759323</xdr:colOff>
      <xdr:row>136</xdr:row>
      <xdr:rowOff>89646</xdr:rowOff>
    </xdr:to>
    <xdr:sp macro="" textlink="">
      <xdr:nvSpPr>
        <xdr:cNvPr id="8" name="TextBox 7">
          <a:extLst>
            <a:ext uri="{FF2B5EF4-FFF2-40B4-BE49-F238E27FC236}">
              <a16:creationId xmlns:a16="http://schemas.microsoft.com/office/drawing/2014/main" id="{AD794257-F708-4085-8216-F6421AE718C9}"/>
            </a:ext>
          </a:extLst>
        </xdr:cNvPr>
        <xdr:cNvSpPr txBox="1"/>
      </xdr:nvSpPr>
      <xdr:spPr>
        <a:xfrm>
          <a:off x="740037" y="23453462"/>
          <a:ext cx="3419586" cy="1507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In a level funded plan the employer</a:t>
          </a:r>
          <a:r>
            <a:rPr lang="en-US" sz="1100" baseline="0">
              <a:solidFill>
                <a:schemeClr val="dk1"/>
              </a:solidFill>
              <a:effectLst/>
              <a:latin typeface="+mn-lt"/>
              <a:ea typeface="+mn-ea"/>
              <a:cs typeface="+mn-cs"/>
            </a:rPr>
            <a:t> assumes all liabilitiy for claims  up to the aggregate stop loss attachment point. Thus they are responsible for all claims paid up to the attachment point of 10.62M. Claims above this are capped, so the cost curve flattens at high claim levels. </a:t>
          </a:r>
          <a:endParaRPr lang="en-US">
            <a:effectLst/>
          </a:endParaRPr>
        </a:p>
        <a:p>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0</xdr:rowOff>
    </xdr:from>
    <xdr:ext cx="6540500" cy="1530997"/>
    <xdr:sp macro="" textlink="">
      <xdr:nvSpPr>
        <xdr:cNvPr id="2" name="TextBox 1">
          <a:extLst>
            <a:ext uri="{FF2B5EF4-FFF2-40B4-BE49-F238E27FC236}">
              <a16:creationId xmlns:a16="http://schemas.microsoft.com/office/drawing/2014/main" id="{C12321A9-7C18-4AF1-9B5A-62B3B6F73EC2}"/>
            </a:ext>
          </a:extLst>
        </xdr:cNvPr>
        <xdr:cNvSpPr txBox="1"/>
      </xdr:nvSpPr>
      <xdr:spPr>
        <a:xfrm>
          <a:off x="601980" y="1097280"/>
          <a:ext cx="6540500" cy="153099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1. Start-up:</a:t>
          </a:r>
          <a:r>
            <a:rPr lang="en-US" sz="1100" baseline="0"/>
            <a:t> slow increase in utilization as people become aware of the technology (small increase in trend)</a:t>
          </a:r>
        </a:p>
        <a:p>
          <a:r>
            <a:rPr lang="en-US" sz="1100" baseline="0"/>
            <a:t>2. Catch-up: focus on existing members who can benefit from the technology(large increase in trend)</a:t>
          </a:r>
        </a:p>
        <a:p>
          <a:r>
            <a:rPr lang="en-US" sz="1100" baseline="0"/>
            <a:t>3. Steady-state: focus on new members who can benefit from the technology (decrease in trend because it is growing slower)</a:t>
          </a:r>
        </a:p>
        <a:p>
          <a:r>
            <a:rPr lang="en-US" sz="1100" baseline="0"/>
            <a:t>4. Transition stage: new technology is introduced, or lower cost versions of the technology are available (trends revert back to levels from before the technology)</a:t>
          </a:r>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kp\Downloads\GHDP%202025%20Spring%20QXX%20Author%20CAM_noPW.xlsx" TargetMode="External"/><Relationship Id="rId1" Type="http://schemas.openxmlformats.org/officeDocument/2006/relationships/externalLinkPath" Target="https://societyofactuaries-my.sharepoint.com/Users/markp/Downloads/GHDP%202025%20Spring%20QXX%20Author%20CAM_noPW.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rkp\Downloads\GHDP%202025%20Spring%20QXX%20Author%20CAM_noPW.xlsx" TargetMode="External"/><Relationship Id="rId1" Type="http://schemas.openxmlformats.org/officeDocument/2006/relationships/externalLinkPath" Target="file:///C:\Users\markp\Downloads\GHDP%202025%20Spring%20QXX%20Author%20CAM_noPW.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och5553\Documents\FSA%20Education\WRITING\Design%20Pricing\LO3\Workbook%202%20-%20Appendix%20C%20-%20Aggregate%20Distributions%20from%20Monte%20Carlo%20Modeling.xlsx" TargetMode="External"/><Relationship Id="rId1" Type="http://schemas.openxmlformats.org/officeDocument/2006/relationships/externalLinkPath" Target="https://uhgazure-my.sharepoint.com/Users/moch5553/Documents/FSA%20Education/WRITING/Design%20Pricing/LO3/Workbook%202%20-%20Appendix%20C%20-%20Aggregate%20Distributions%20from%20Monte%20Carlo%20Model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hgazure-my.sharepoint.com/Users/hcarroll/Documents/Magic%20Briefcase/SOA%20SIC%20Self-funding%20actuaries%20issues/Workbooks/Table%201%20Questions,%20Formatted,%20J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Question"/>
      <sheetName val="QuestionOld"/>
      <sheetName val="Data"/>
      <sheetName val="CalculationTables_D"/>
      <sheetName val="CalculationTable_E"/>
      <sheetName val="Solution"/>
      <sheetName val="Solution2"/>
      <sheetName val="Rubric Guidance"/>
    </sheetNames>
    <sheetDataSet>
      <sheetData sheetId="0" refreshError="1"/>
      <sheetData sheetId="1" refreshError="1"/>
      <sheetData sheetId="2" refreshError="1"/>
      <sheetData sheetId="3" refreshError="1"/>
      <sheetData sheetId="4">
        <row r="2">
          <cell r="D2">
            <v>1500</v>
          </cell>
        </row>
        <row r="3">
          <cell r="D3">
            <v>0.1</v>
          </cell>
        </row>
        <row r="4">
          <cell r="D4">
            <v>5000</v>
          </cell>
        </row>
      </sheetData>
      <sheetData sheetId="5" refreshError="1"/>
      <sheetData sheetId="6" refreshError="1"/>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Question"/>
      <sheetName val="QuestionOld"/>
      <sheetName val="Data"/>
      <sheetName val="CalculationTables_D"/>
      <sheetName val="CalculationTable_E"/>
      <sheetName val="Solution"/>
      <sheetName val="Solution2"/>
      <sheetName val="Rubric Guidance"/>
    </sheetNames>
    <sheetDataSet>
      <sheetData sheetId="0" refreshError="1"/>
      <sheetData sheetId="1" refreshError="1"/>
      <sheetData sheetId="2" refreshError="1"/>
      <sheetData sheetId="3" refreshError="1"/>
      <sheetData sheetId="4">
        <row r="2">
          <cell r="D2">
            <v>1500</v>
          </cell>
        </row>
        <row r="3">
          <cell r="D3">
            <v>0.1</v>
          </cell>
        </row>
        <row r="4">
          <cell r="D4">
            <v>5000</v>
          </cell>
        </row>
      </sheetData>
      <sheetData sheetId="5" refreshError="1"/>
      <sheetData sheetId="6" refreshError="1"/>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and Documentation"/>
      <sheetName val="25000 Specific Deductible"/>
      <sheetName val="50000 Specific Deductible"/>
      <sheetName val="100000 Specific Deductible"/>
      <sheetName val="250000 Specific Deductible"/>
      <sheetName val="No Specific - Agg Only"/>
    </sheetNames>
    <sheetDataSet>
      <sheetData sheetId="0"/>
      <sheetData sheetId="1">
        <row r="6">
          <cell r="D6">
            <v>150</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10,000"/>
      <sheetName val="25,000"/>
      <sheetName val="100,000"/>
    </sheetNames>
    <sheetDataSet>
      <sheetData sheetId="0"/>
      <sheetData sheetId="1">
        <row r="2">
          <cell r="I2">
            <v>1500</v>
          </cell>
        </row>
      </sheetData>
      <sheetData sheetId="2">
        <row r="8">
          <cell r="I8">
            <v>25000</v>
          </cell>
        </row>
      </sheetData>
      <sheetData sheetId="3">
        <row r="8">
          <cell r="I8">
            <v>100000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6C5C-BA67-4F8F-BCB1-101C3FA9CCEB}">
  <dimension ref="A1:K969"/>
  <sheetViews>
    <sheetView workbookViewId="0"/>
  </sheetViews>
  <sheetFormatPr defaultColWidth="12.7109375" defaultRowHeight="15" customHeight="1"/>
  <cols>
    <col min="1" max="1" width="18.28515625" style="51" customWidth="1"/>
    <col min="2" max="2" width="13.85546875" style="51" customWidth="1"/>
    <col min="3" max="3" width="16.140625" style="51" customWidth="1"/>
    <col min="4" max="4" width="11.85546875" style="51" customWidth="1"/>
    <col min="5" max="5" width="11.28515625" style="51" customWidth="1"/>
    <col min="6" max="6" width="11.7109375" style="51" customWidth="1"/>
    <col min="7" max="10" width="8.7109375" style="51" customWidth="1"/>
    <col min="11" max="11" width="15" style="51" customWidth="1"/>
    <col min="12" max="12" width="12.28515625" style="51" customWidth="1"/>
    <col min="13" max="13" width="26" style="51" customWidth="1"/>
    <col min="14" max="16384" width="12.7109375" style="51"/>
  </cols>
  <sheetData>
    <row r="1" spans="1:11" ht="39.75" customHeight="1">
      <c r="A1" s="99" t="s">
        <v>186</v>
      </c>
      <c r="B1" s="98"/>
      <c r="C1" s="98"/>
      <c r="D1" s="189"/>
      <c r="E1" s="190"/>
      <c r="F1" s="98"/>
      <c r="G1" s="98"/>
      <c r="J1" s="97"/>
      <c r="K1" s="97"/>
    </row>
    <row r="2" spans="1:11" ht="15.75" customHeight="1">
      <c r="A2" s="52" t="s">
        <v>185</v>
      </c>
      <c r="D2" s="55"/>
    </row>
    <row r="3" spans="1:11" ht="15.75" customHeight="1"/>
    <row r="4" spans="1:11" ht="15.75" customHeight="1">
      <c r="A4" s="60" t="s">
        <v>184</v>
      </c>
    </row>
    <row r="5" spans="1:11" ht="15.75" customHeight="1"/>
    <row r="6" spans="1:11" ht="15.75" customHeight="1">
      <c r="A6" s="52" t="s">
        <v>183</v>
      </c>
    </row>
    <row r="7" spans="1:11" ht="15.75" customHeight="1">
      <c r="A7" s="191" t="s">
        <v>182</v>
      </c>
      <c r="B7" s="192"/>
      <c r="C7" s="192"/>
      <c r="D7" s="192"/>
      <c r="E7" s="192"/>
      <c r="F7" s="192"/>
      <c r="G7" s="192"/>
      <c r="H7" s="193"/>
    </row>
    <row r="8" spans="1:11" ht="15.75" customHeight="1">
      <c r="A8" s="72"/>
      <c r="H8" s="90"/>
    </row>
    <row r="9" spans="1:11" ht="15.75" customHeight="1">
      <c r="A9" s="95" t="s">
        <v>178</v>
      </c>
      <c r="H9" s="90"/>
    </row>
    <row r="10" spans="1:11" ht="15.75" customHeight="1">
      <c r="A10" s="72"/>
      <c r="B10" s="52" t="s">
        <v>144</v>
      </c>
      <c r="C10" s="52" t="s">
        <v>143</v>
      </c>
      <c r="D10" s="52" t="s">
        <v>142</v>
      </c>
      <c r="E10" s="52" t="s">
        <v>141</v>
      </c>
      <c r="F10" s="60" t="s">
        <v>181</v>
      </c>
      <c r="G10" s="52" t="s">
        <v>176</v>
      </c>
      <c r="H10" s="90"/>
    </row>
    <row r="11" spans="1:11" ht="15.75" customHeight="1">
      <c r="A11" s="72" t="s">
        <v>130</v>
      </c>
      <c r="B11" s="62">
        <v>418.72</v>
      </c>
      <c r="C11" s="62">
        <v>879.31</v>
      </c>
      <c r="D11" s="62">
        <v>795.57</v>
      </c>
      <c r="E11" s="62">
        <v>1256.1600000000001</v>
      </c>
      <c r="F11" s="62">
        <v>757.53</v>
      </c>
      <c r="G11" s="94">
        <v>0.77</v>
      </c>
      <c r="H11" s="90"/>
    </row>
    <row r="12" spans="1:11" ht="15.75" customHeight="1">
      <c r="A12" s="72" t="s">
        <v>129</v>
      </c>
      <c r="B12" s="62">
        <v>375.36</v>
      </c>
      <c r="C12" s="62">
        <v>788.26</v>
      </c>
      <c r="D12" s="62">
        <v>713.18</v>
      </c>
      <c r="E12" s="62">
        <v>1126.08</v>
      </c>
      <c r="F12" s="62">
        <v>614.27</v>
      </c>
      <c r="G12" s="94">
        <v>0.83</v>
      </c>
      <c r="H12" s="90"/>
    </row>
    <row r="13" spans="1:11" ht="15.75" customHeight="1">
      <c r="A13" s="72" t="s">
        <v>175</v>
      </c>
      <c r="B13" s="93">
        <v>1</v>
      </c>
      <c r="C13" s="93">
        <v>2.1</v>
      </c>
      <c r="D13" s="93">
        <v>1.9</v>
      </c>
      <c r="E13" s="93">
        <v>3</v>
      </c>
      <c r="H13" s="90"/>
    </row>
    <row r="14" spans="1:11" ht="15.75" customHeight="1">
      <c r="A14" s="72"/>
      <c r="H14" s="90"/>
    </row>
    <row r="15" spans="1:11" ht="15.75" customHeight="1">
      <c r="A15" s="72" t="s">
        <v>174</v>
      </c>
      <c r="H15" s="90"/>
    </row>
    <row r="16" spans="1:11" ht="15.75" customHeight="1">
      <c r="A16" s="72"/>
      <c r="C16" s="52" t="s">
        <v>144</v>
      </c>
      <c r="D16" s="52" t="s">
        <v>143</v>
      </c>
      <c r="E16" s="52" t="s">
        <v>142</v>
      </c>
      <c r="F16" s="52" t="s">
        <v>141</v>
      </c>
      <c r="H16" s="90"/>
    </row>
    <row r="17" spans="1:8" ht="15.75" customHeight="1">
      <c r="A17" s="63" t="s">
        <v>134</v>
      </c>
      <c r="B17" s="63" t="s">
        <v>130</v>
      </c>
      <c r="C17" s="92">
        <v>1402</v>
      </c>
      <c r="D17" s="92">
        <v>631</v>
      </c>
      <c r="E17" s="92">
        <v>512</v>
      </c>
      <c r="F17" s="92">
        <v>762</v>
      </c>
      <c r="G17" s="81"/>
      <c r="H17" s="90"/>
    </row>
    <row r="18" spans="1:8" ht="15.75" customHeight="1">
      <c r="A18" s="63"/>
      <c r="B18" s="63" t="s">
        <v>129</v>
      </c>
      <c r="C18" s="92">
        <v>243</v>
      </c>
      <c r="D18" s="92">
        <v>87</v>
      </c>
      <c r="E18" s="92">
        <v>64</v>
      </c>
      <c r="F18" s="92">
        <v>93</v>
      </c>
      <c r="G18" s="81"/>
      <c r="H18" s="90"/>
    </row>
    <row r="19" spans="1:8" ht="15.75" customHeight="1">
      <c r="A19" s="63" t="s">
        <v>133</v>
      </c>
      <c r="B19" s="63" t="s">
        <v>130</v>
      </c>
      <c r="C19" s="92">
        <v>765</v>
      </c>
      <c r="D19" s="92">
        <v>287</v>
      </c>
      <c r="E19" s="92">
        <v>115</v>
      </c>
      <c r="F19" s="92">
        <v>304</v>
      </c>
      <c r="G19" s="81"/>
      <c r="H19" s="90"/>
    </row>
    <row r="20" spans="1:8" ht="15.75" customHeight="1">
      <c r="A20" s="63"/>
      <c r="B20" s="63" t="s">
        <v>129</v>
      </c>
      <c r="C20" s="92">
        <v>123</v>
      </c>
      <c r="D20" s="92">
        <v>76</v>
      </c>
      <c r="E20" s="92">
        <v>71</v>
      </c>
      <c r="F20" s="92">
        <v>102</v>
      </c>
      <c r="G20" s="81"/>
      <c r="H20" s="90"/>
    </row>
    <row r="21" spans="1:8" ht="15.75" customHeight="1">
      <c r="A21" s="63" t="s">
        <v>132</v>
      </c>
      <c r="B21" s="63" t="s">
        <v>130</v>
      </c>
      <c r="C21" s="92">
        <v>15</v>
      </c>
      <c r="D21" s="92">
        <v>9</v>
      </c>
      <c r="E21" s="92">
        <v>19</v>
      </c>
      <c r="F21" s="92">
        <v>35</v>
      </c>
      <c r="G21" s="81"/>
      <c r="H21" s="90"/>
    </row>
    <row r="22" spans="1:8" ht="15.75" customHeight="1">
      <c r="A22" s="63"/>
      <c r="B22" s="63" t="s">
        <v>129</v>
      </c>
      <c r="C22" s="92">
        <v>2</v>
      </c>
      <c r="D22" s="92">
        <v>1</v>
      </c>
      <c r="E22" s="92">
        <v>4</v>
      </c>
      <c r="F22" s="92">
        <v>10</v>
      </c>
      <c r="G22" s="81"/>
      <c r="H22" s="90"/>
    </row>
    <row r="23" spans="1:8" ht="15.75" customHeight="1">
      <c r="A23" s="96" t="s">
        <v>140</v>
      </c>
      <c r="B23" s="96" t="s">
        <v>130</v>
      </c>
      <c r="C23" s="91">
        <f t="shared" ref="C23:F24" si="0">SUM(C17,C19,C21)</f>
        <v>2182</v>
      </c>
      <c r="D23" s="91">
        <f t="shared" si="0"/>
        <v>927</v>
      </c>
      <c r="E23" s="91">
        <f t="shared" si="0"/>
        <v>646</v>
      </c>
      <c r="F23" s="91">
        <f t="shared" si="0"/>
        <v>1101</v>
      </c>
      <c r="G23" s="81"/>
      <c r="H23" s="90"/>
    </row>
    <row r="24" spans="1:8" ht="15.75" customHeight="1">
      <c r="A24" s="96"/>
      <c r="B24" s="96" t="s">
        <v>129</v>
      </c>
      <c r="C24" s="91">
        <f t="shared" si="0"/>
        <v>368</v>
      </c>
      <c r="D24" s="91">
        <f t="shared" si="0"/>
        <v>164</v>
      </c>
      <c r="E24" s="91">
        <f t="shared" si="0"/>
        <v>139</v>
      </c>
      <c r="F24" s="91">
        <f t="shared" si="0"/>
        <v>205</v>
      </c>
      <c r="G24" s="81"/>
      <c r="H24" s="90"/>
    </row>
    <row r="25" spans="1:8" ht="15.75" customHeight="1">
      <c r="A25" s="72"/>
      <c r="C25" s="81"/>
      <c r="D25" s="81"/>
      <c r="E25" s="81"/>
      <c r="F25" s="81"/>
      <c r="G25" s="81"/>
      <c r="H25" s="90"/>
    </row>
    <row r="26" spans="1:8" ht="15.75" customHeight="1">
      <c r="A26" s="72" t="s">
        <v>180</v>
      </c>
      <c r="C26" s="52" t="s">
        <v>144</v>
      </c>
      <c r="D26" s="52" t="s">
        <v>143</v>
      </c>
      <c r="E26" s="52" t="s">
        <v>142</v>
      </c>
      <c r="F26" s="52" t="s">
        <v>141</v>
      </c>
      <c r="G26" s="81"/>
      <c r="H26" s="90"/>
    </row>
    <row r="27" spans="1:8" ht="15.75" customHeight="1">
      <c r="A27" s="72"/>
      <c r="B27" s="63" t="s">
        <v>134</v>
      </c>
      <c r="C27" s="94">
        <v>0.83</v>
      </c>
      <c r="D27" s="94">
        <v>0.77</v>
      </c>
      <c r="E27" s="94">
        <v>0.78</v>
      </c>
      <c r="F27" s="94">
        <v>0.75</v>
      </c>
      <c r="G27" s="81"/>
      <c r="H27" s="90"/>
    </row>
    <row r="28" spans="1:8" ht="15.75" customHeight="1">
      <c r="A28" s="72"/>
      <c r="B28" s="63" t="s">
        <v>133</v>
      </c>
      <c r="C28" s="94">
        <v>0.80999999999999994</v>
      </c>
      <c r="D28" s="94">
        <v>0.75</v>
      </c>
      <c r="E28" s="94">
        <v>0.76</v>
      </c>
      <c r="F28" s="94">
        <v>0.73</v>
      </c>
      <c r="G28" s="81"/>
      <c r="H28" s="90"/>
    </row>
    <row r="29" spans="1:8" ht="15.75" customHeight="1">
      <c r="A29" s="66"/>
      <c r="B29" s="63" t="s">
        <v>132</v>
      </c>
      <c r="C29" s="94">
        <v>0.78999999999999992</v>
      </c>
      <c r="D29" s="94">
        <v>0.73</v>
      </c>
      <c r="E29" s="94">
        <v>0.74</v>
      </c>
      <c r="F29" s="94">
        <v>0.71</v>
      </c>
      <c r="G29" s="89"/>
      <c r="H29" s="87"/>
    </row>
    <row r="30" spans="1:8" ht="15.75" customHeight="1">
      <c r="C30" s="81"/>
      <c r="D30" s="81"/>
      <c r="E30" s="81"/>
      <c r="F30" s="81"/>
      <c r="G30" s="81"/>
    </row>
    <row r="31" spans="1:8" ht="15.75" customHeight="1">
      <c r="A31" s="194" t="s">
        <v>179</v>
      </c>
      <c r="B31" s="192"/>
      <c r="C31" s="192"/>
      <c r="D31" s="192"/>
      <c r="E31" s="192"/>
      <c r="F31" s="192"/>
      <c r="G31" s="192"/>
      <c r="H31" s="193"/>
    </row>
    <row r="32" spans="1:8" ht="15.75" customHeight="1">
      <c r="A32" s="95" t="s">
        <v>178</v>
      </c>
      <c r="H32" s="90"/>
    </row>
    <row r="33" spans="1:8" ht="15.75" customHeight="1">
      <c r="A33" s="72"/>
      <c r="H33" s="90"/>
    </row>
    <row r="34" spans="1:8" ht="15.75" customHeight="1">
      <c r="A34" s="72"/>
      <c r="B34" s="52" t="s">
        <v>144</v>
      </c>
      <c r="C34" s="52" t="s">
        <v>143</v>
      </c>
      <c r="D34" s="52" t="s">
        <v>142</v>
      </c>
      <c r="E34" s="52" t="s">
        <v>141</v>
      </c>
      <c r="F34" s="52" t="s">
        <v>177</v>
      </c>
      <c r="G34" s="52" t="s">
        <v>176</v>
      </c>
      <c r="H34" s="90"/>
    </row>
    <row r="35" spans="1:8" ht="15.75" customHeight="1">
      <c r="A35" s="72" t="s">
        <v>130</v>
      </c>
      <c r="B35" s="62">
        <v>405.15</v>
      </c>
      <c r="C35" s="62">
        <v>915.23</v>
      </c>
      <c r="D35" s="62">
        <v>837.78</v>
      </c>
      <c r="E35" s="62">
        <v>1450.65</v>
      </c>
      <c r="F35" s="62">
        <v>815.43</v>
      </c>
      <c r="G35" s="94">
        <v>0.85</v>
      </c>
      <c r="H35" s="90"/>
    </row>
    <row r="36" spans="1:8" ht="15.75" customHeight="1">
      <c r="A36" s="72" t="s">
        <v>129</v>
      </c>
      <c r="B36" s="62">
        <v>397.29</v>
      </c>
      <c r="C36" s="62">
        <v>904.45</v>
      </c>
      <c r="D36" s="62">
        <v>767.54</v>
      </c>
      <c r="E36" s="62">
        <v>1387.43</v>
      </c>
      <c r="F36" s="62">
        <v>805.26</v>
      </c>
      <c r="G36" s="94">
        <v>0.88</v>
      </c>
      <c r="H36" s="90"/>
    </row>
    <row r="37" spans="1:8" ht="15.75" customHeight="1">
      <c r="A37" s="72" t="s">
        <v>175</v>
      </c>
      <c r="B37" s="93">
        <v>1</v>
      </c>
      <c r="C37" s="93">
        <v>2.4</v>
      </c>
      <c r="D37" s="93">
        <v>1.8</v>
      </c>
      <c r="E37" s="93">
        <v>3.2</v>
      </c>
      <c r="F37" s="63"/>
      <c r="H37" s="90"/>
    </row>
    <row r="38" spans="1:8" ht="15.75" customHeight="1">
      <c r="A38" s="72"/>
      <c r="H38" s="90"/>
    </row>
    <row r="39" spans="1:8" ht="15.75" customHeight="1">
      <c r="A39" s="72" t="s">
        <v>174</v>
      </c>
      <c r="H39" s="90"/>
    </row>
    <row r="40" spans="1:8" ht="15.75" customHeight="1">
      <c r="A40" s="72"/>
      <c r="C40" s="52" t="s">
        <v>144</v>
      </c>
      <c r="D40" s="52" t="s">
        <v>143</v>
      </c>
      <c r="E40" s="52" t="s">
        <v>142</v>
      </c>
      <c r="F40" s="52" t="s">
        <v>141</v>
      </c>
      <c r="H40" s="90"/>
    </row>
    <row r="41" spans="1:8" ht="15.75" customHeight="1">
      <c r="A41" s="72" t="s">
        <v>134</v>
      </c>
      <c r="B41" s="52" t="s">
        <v>130</v>
      </c>
      <c r="C41" s="92">
        <v>438</v>
      </c>
      <c r="D41" s="92">
        <v>256</v>
      </c>
      <c r="E41" s="92">
        <v>259</v>
      </c>
      <c r="F41" s="92">
        <v>423</v>
      </c>
      <c r="G41" s="81"/>
      <c r="H41" s="90"/>
    </row>
    <row r="42" spans="1:8" ht="15.75" customHeight="1">
      <c r="A42" s="72"/>
      <c r="B42" s="52" t="s">
        <v>129</v>
      </c>
      <c r="C42" s="92">
        <v>87</v>
      </c>
      <c r="D42" s="92">
        <v>78</v>
      </c>
      <c r="E42" s="92">
        <v>45</v>
      </c>
      <c r="F42" s="92">
        <v>38</v>
      </c>
      <c r="G42" s="81"/>
      <c r="H42" s="90"/>
    </row>
    <row r="43" spans="1:8" ht="15.75" customHeight="1">
      <c r="A43" s="72" t="s">
        <v>133</v>
      </c>
      <c r="B43" s="52" t="s">
        <v>130</v>
      </c>
      <c r="C43" s="92">
        <v>354</v>
      </c>
      <c r="D43" s="92">
        <v>157</v>
      </c>
      <c r="E43" s="92">
        <v>78</v>
      </c>
      <c r="F43" s="92">
        <v>178</v>
      </c>
      <c r="G43" s="81"/>
      <c r="H43" s="90"/>
    </row>
    <row r="44" spans="1:8" ht="15.75" customHeight="1">
      <c r="A44" s="72"/>
      <c r="B44" s="52" t="s">
        <v>129</v>
      </c>
      <c r="C44" s="92">
        <v>54</v>
      </c>
      <c r="D44" s="92">
        <v>54</v>
      </c>
      <c r="E44" s="92">
        <v>32</v>
      </c>
      <c r="F44" s="92">
        <v>65</v>
      </c>
      <c r="G44" s="81"/>
      <c r="H44" s="90"/>
    </row>
    <row r="45" spans="1:8" ht="15.75" customHeight="1">
      <c r="A45" s="72" t="s">
        <v>132</v>
      </c>
      <c r="B45" s="52" t="s">
        <v>130</v>
      </c>
      <c r="C45" s="92">
        <v>12</v>
      </c>
      <c r="D45" s="92">
        <v>17</v>
      </c>
      <c r="E45" s="92">
        <v>22</v>
      </c>
      <c r="F45" s="92">
        <v>43</v>
      </c>
      <c r="G45" s="81"/>
      <c r="H45" s="90"/>
    </row>
    <row r="46" spans="1:8" ht="15.75" customHeight="1">
      <c r="A46" s="72"/>
      <c r="B46" s="52" t="s">
        <v>129</v>
      </c>
      <c r="C46" s="92">
        <v>6</v>
      </c>
      <c r="D46" s="92">
        <v>6</v>
      </c>
      <c r="E46" s="92">
        <v>5</v>
      </c>
      <c r="F46" s="92">
        <v>14</v>
      </c>
      <c r="G46" s="81"/>
      <c r="H46" s="90"/>
    </row>
    <row r="47" spans="1:8" ht="15.75" customHeight="1">
      <c r="A47" s="72" t="s">
        <v>173</v>
      </c>
      <c r="B47" s="52" t="s">
        <v>130</v>
      </c>
      <c r="C47" s="91">
        <f t="shared" ref="C47:F48" si="1">SUM(C41,C43,C45)</f>
        <v>804</v>
      </c>
      <c r="D47" s="91">
        <f t="shared" si="1"/>
        <v>430</v>
      </c>
      <c r="E47" s="91">
        <f t="shared" si="1"/>
        <v>359</v>
      </c>
      <c r="F47" s="91">
        <f t="shared" si="1"/>
        <v>644</v>
      </c>
      <c r="G47" s="81"/>
      <c r="H47" s="90"/>
    </row>
    <row r="48" spans="1:8" ht="15.75" customHeight="1">
      <c r="A48" s="72"/>
      <c r="B48" s="52" t="s">
        <v>129</v>
      </c>
      <c r="C48" s="91">
        <f t="shared" si="1"/>
        <v>147</v>
      </c>
      <c r="D48" s="91">
        <f t="shared" si="1"/>
        <v>138</v>
      </c>
      <c r="E48" s="91">
        <f t="shared" si="1"/>
        <v>82</v>
      </c>
      <c r="F48" s="91">
        <f t="shared" si="1"/>
        <v>117</v>
      </c>
      <c r="G48" s="81"/>
      <c r="H48" s="90"/>
    </row>
    <row r="49" spans="1:8" ht="15.75" customHeight="1">
      <c r="A49" s="72"/>
      <c r="C49" s="81"/>
      <c r="D49" s="81"/>
      <c r="E49" s="81"/>
      <c r="F49" s="81"/>
      <c r="G49" s="81"/>
      <c r="H49" s="90"/>
    </row>
    <row r="50" spans="1:8" ht="15.75" customHeight="1">
      <c r="A50" s="72" t="s">
        <v>172</v>
      </c>
      <c r="C50" s="80">
        <v>0.5</v>
      </c>
      <c r="D50" s="81"/>
      <c r="E50" s="81"/>
      <c r="F50" s="81"/>
      <c r="G50" s="81"/>
      <c r="H50" s="90"/>
    </row>
    <row r="51" spans="1:8" ht="15.75" customHeight="1">
      <c r="A51" s="66"/>
      <c r="B51" s="88"/>
      <c r="C51" s="89"/>
      <c r="D51" s="89"/>
      <c r="E51" s="89"/>
      <c r="F51" s="89"/>
      <c r="G51" s="88"/>
      <c r="H51" s="87"/>
    </row>
    <row r="52" spans="1:8" ht="15.75" customHeight="1"/>
    <row r="53" spans="1:8" ht="15.75" customHeight="1">
      <c r="A53" s="60" t="s">
        <v>171</v>
      </c>
    </row>
    <row r="54" spans="1:8" ht="15.75" customHeight="1">
      <c r="A54" s="55"/>
    </row>
    <row r="55" spans="1:8" ht="15.75" customHeight="1">
      <c r="A55" s="55"/>
      <c r="B55" s="84" t="s">
        <v>170</v>
      </c>
      <c r="C55" s="83"/>
      <c r="D55" s="83"/>
      <c r="E55" s="83"/>
      <c r="F55" s="83"/>
      <c r="G55" s="86">
        <v>0.03</v>
      </c>
    </row>
    <row r="56" spans="1:8" ht="15.75" customHeight="1">
      <c r="A56" s="55"/>
      <c r="B56" s="84" t="s">
        <v>169</v>
      </c>
      <c r="C56" s="83"/>
      <c r="D56" s="83"/>
      <c r="E56" s="83"/>
      <c r="F56" s="83"/>
      <c r="G56" s="85">
        <v>55</v>
      </c>
    </row>
    <row r="57" spans="1:8" ht="15.75" customHeight="1">
      <c r="A57" s="55"/>
      <c r="B57" s="84" t="s">
        <v>168</v>
      </c>
      <c r="C57" s="83"/>
      <c r="D57" s="83"/>
      <c r="E57" s="83"/>
      <c r="F57" s="83"/>
      <c r="G57" s="82"/>
    </row>
    <row r="58" spans="1:8" ht="15.75" customHeight="1">
      <c r="A58" s="55"/>
      <c r="B58" s="84" t="s">
        <v>167</v>
      </c>
      <c r="C58" s="83"/>
      <c r="D58" s="83"/>
      <c r="E58" s="83"/>
      <c r="F58" s="83"/>
      <c r="G58" s="82"/>
    </row>
    <row r="59" spans="1:8" ht="15.75" customHeight="1">
      <c r="A59" s="55"/>
      <c r="B59" s="55"/>
    </row>
    <row r="60" spans="1:8" ht="15.75" customHeight="1">
      <c r="A60" s="55"/>
      <c r="B60" s="55"/>
    </row>
    <row r="61" spans="1:8" ht="15.75" customHeight="1">
      <c r="A61" s="55"/>
    </row>
    <row r="62" spans="1:8" ht="15.75" customHeight="1">
      <c r="A62" s="60" t="s">
        <v>166</v>
      </c>
    </row>
    <row r="63" spans="1:8" ht="15.75" customHeight="1">
      <c r="A63" s="52" t="s">
        <v>165</v>
      </c>
    </row>
    <row r="64" spans="1:8" ht="15.75" customHeight="1"/>
    <row r="65" spans="1:7" ht="15.75" customHeight="1"/>
    <row r="66" spans="1:7" ht="15.75" customHeight="1">
      <c r="A66" s="52" t="s">
        <v>164</v>
      </c>
    </row>
    <row r="67" spans="1:7" ht="15.75" customHeight="1">
      <c r="A67" s="76"/>
      <c r="B67" s="76" t="s">
        <v>144</v>
      </c>
      <c r="C67" s="76" t="s">
        <v>143</v>
      </c>
      <c r="D67" s="76" t="s">
        <v>142</v>
      </c>
      <c r="E67" s="76" t="s">
        <v>141</v>
      </c>
    </row>
    <row r="68" spans="1:7" ht="15" customHeight="1">
      <c r="A68" s="52" t="s">
        <v>154</v>
      </c>
      <c r="B68" s="81">
        <f t="shared" ref="B68:E69" si="2">SUM(C17,C19,C21)</f>
        <v>2182</v>
      </c>
      <c r="C68" s="81">
        <f t="shared" si="2"/>
        <v>927</v>
      </c>
      <c r="D68" s="81">
        <f t="shared" si="2"/>
        <v>646</v>
      </c>
      <c r="E68" s="81">
        <f t="shared" si="2"/>
        <v>1101</v>
      </c>
    </row>
    <row r="69" spans="1:7" ht="15.75" customHeight="1">
      <c r="A69" s="52" t="s">
        <v>151</v>
      </c>
      <c r="B69" s="81">
        <f t="shared" si="2"/>
        <v>368</v>
      </c>
      <c r="C69" s="81">
        <f t="shared" si="2"/>
        <v>164</v>
      </c>
      <c r="D69" s="81">
        <f t="shared" si="2"/>
        <v>139</v>
      </c>
      <c r="E69" s="81">
        <f t="shared" si="2"/>
        <v>205</v>
      </c>
    </row>
    <row r="70" spans="1:7" ht="15.75" customHeight="1">
      <c r="A70" s="52" t="s">
        <v>153</v>
      </c>
      <c r="B70" s="81">
        <f t="shared" ref="B70:E71" si="3">SUM(C41,C43,C45)</f>
        <v>804</v>
      </c>
      <c r="C70" s="81">
        <f t="shared" si="3"/>
        <v>430</v>
      </c>
      <c r="D70" s="81">
        <f t="shared" si="3"/>
        <v>359</v>
      </c>
      <c r="E70" s="81">
        <f t="shared" si="3"/>
        <v>644</v>
      </c>
    </row>
    <row r="71" spans="1:7" ht="15.75" customHeight="1">
      <c r="A71" s="52" t="s">
        <v>150</v>
      </c>
      <c r="B71" s="81">
        <f t="shared" si="3"/>
        <v>147</v>
      </c>
      <c r="C71" s="81">
        <f t="shared" si="3"/>
        <v>138</v>
      </c>
      <c r="D71" s="81">
        <f t="shared" si="3"/>
        <v>82</v>
      </c>
      <c r="E71" s="81">
        <f t="shared" si="3"/>
        <v>117</v>
      </c>
    </row>
    <row r="72" spans="1:7" ht="15.75" customHeight="1">
      <c r="A72" s="76" t="s">
        <v>163</v>
      </c>
      <c r="B72" s="78">
        <f t="shared" ref="B72:E73" si="4">B70+B68</f>
        <v>2986</v>
      </c>
      <c r="C72" s="78">
        <f t="shared" si="4"/>
        <v>1357</v>
      </c>
      <c r="D72" s="78">
        <f t="shared" si="4"/>
        <v>1005</v>
      </c>
      <c r="E72" s="78">
        <f t="shared" si="4"/>
        <v>1745</v>
      </c>
    </row>
    <row r="73" spans="1:7" ht="15.75" customHeight="1">
      <c r="A73" s="76" t="s">
        <v>162</v>
      </c>
      <c r="B73" s="78">
        <f t="shared" si="4"/>
        <v>515</v>
      </c>
      <c r="C73" s="78">
        <f t="shared" si="4"/>
        <v>302</v>
      </c>
      <c r="D73" s="78">
        <f t="shared" si="4"/>
        <v>221</v>
      </c>
      <c r="E73" s="78">
        <f t="shared" si="4"/>
        <v>322</v>
      </c>
    </row>
    <row r="74" spans="1:7" ht="15.75" customHeight="1">
      <c r="A74" s="76"/>
    </row>
    <row r="75" spans="1:7" ht="15.75" customHeight="1">
      <c r="C75" s="81"/>
      <c r="D75" s="81"/>
      <c r="E75" s="81"/>
      <c r="F75" s="81"/>
    </row>
    <row r="76" spans="1:7" ht="15.75" customHeight="1"/>
    <row r="77" spans="1:7" ht="15.75" customHeight="1">
      <c r="A77" s="76" t="s">
        <v>161</v>
      </c>
      <c r="B77" s="76" t="s">
        <v>160</v>
      </c>
      <c r="C77" s="61" t="s">
        <v>159</v>
      </c>
      <c r="D77" s="76" t="s">
        <v>158</v>
      </c>
      <c r="E77" s="76" t="s">
        <v>157</v>
      </c>
      <c r="F77" s="76" t="s">
        <v>156</v>
      </c>
      <c r="G77" s="76" t="s">
        <v>155</v>
      </c>
    </row>
    <row r="78" spans="1:7" ht="15.75" customHeight="1">
      <c r="A78" s="52" t="s">
        <v>154</v>
      </c>
      <c r="B78" s="81">
        <f>SUM(B68:E68)</f>
        <v>4856</v>
      </c>
      <c r="C78" s="58">
        <f>F11</f>
        <v>757.53</v>
      </c>
      <c r="D78" s="80">
        <f>G11</f>
        <v>0.77</v>
      </c>
      <c r="E78" s="52">
        <v>1</v>
      </c>
      <c r="F78" s="52">
        <v>1</v>
      </c>
      <c r="G78" s="58">
        <f>C78*E78*F78</f>
        <v>757.53</v>
      </c>
    </row>
    <row r="79" spans="1:7" ht="15.75" customHeight="1">
      <c r="A79" s="52" t="s">
        <v>153</v>
      </c>
      <c r="B79" s="81">
        <f>SUM(B70:E70)</f>
        <v>2237</v>
      </c>
      <c r="C79" s="58">
        <f>F35</f>
        <v>815.43</v>
      </c>
      <c r="D79" s="80">
        <f>G35</f>
        <v>0.85</v>
      </c>
      <c r="E79" s="79">
        <f>D78/D79</f>
        <v>0.90588235294117647</v>
      </c>
      <c r="F79" s="79">
        <f>(1-$G$55)</f>
        <v>0.97</v>
      </c>
      <c r="G79" s="58">
        <f>C79*E79*F79</f>
        <v>716.52313764705877</v>
      </c>
    </row>
    <row r="80" spans="1:7" ht="15.75" customHeight="1">
      <c r="A80" s="76" t="s">
        <v>152</v>
      </c>
      <c r="B80" s="78">
        <f>SUM(B78:B79)</f>
        <v>7093</v>
      </c>
      <c r="C80" s="77">
        <f>SUMPRODUCT(C78:C79,B78:B79)/B80</f>
        <v>775.79058085436338</v>
      </c>
      <c r="D80" s="76"/>
      <c r="E80" s="76"/>
      <c r="G80" s="77">
        <f>SUMPRODUCT(G78:G79,B78:B79)/B80</f>
        <v>744.59719990363317</v>
      </c>
    </row>
    <row r="81" spans="1:7" ht="15.75" customHeight="1">
      <c r="A81" s="52" t="s">
        <v>151</v>
      </c>
      <c r="B81" s="81">
        <f>SUM(B69:E69)</f>
        <v>876</v>
      </c>
      <c r="C81" s="58">
        <f>F12</f>
        <v>614.27</v>
      </c>
      <c r="D81" s="80">
        <f>G12</f>
        <v>0.83</v>
      </c>
      <c r="E81" s="52">
        <v>1</v>
      </c>
      <c r="F81" s="52">
        <v>1</v>
      </c>
      <c r="G81" s="58">
        <f>C81*E81*F81</f>
        <v>614.27</v>
      </c>
    </row>
    <row r="82" spans="1:7" ht="15.75" customHeight="1">
      <c r="A82" s="52" t="s">
        <v>150</v>
      </c>
      <c r="B82" s="81">
        <f>SUM(B71:E71)</f>
        <v>484</v>
      </c>
      <c r="C82" s="58">
        <f>F36</f>
        <v>805.26</v>
      </c>
      <c r="D82" s="80">
        <f>G36</f>
        <v>0.88</v>
      </c>
      <c r="E82" s="79">
        <f>D81/D82</f>
        <v>0.94318181818181812</v>
      </c>
      <c r="F82" s="79">
        <f>(1-$G$55)</f>
        <v>0.97</v>
      </c>
      <c r="G82" s="58">
        <f>C82*E82*F82</f>
        <v>736.72139318181814</v>
      </c>
    </row>
    <row r="83" spans="1:7" ht="15.75" customHeight="1">
      <c r="A83" s="76" t="s">
        <v>149</v>
      </c>
      <c r="B83" s="78">
        <f>SUM(B81:B82)</f>
        <v>1360</v>
      </c>
      <c r="C83" s="77">
        <f>SUMPRODUCT(C81:C82,B81:B82)/B83</f>
        <v>682.23997058823534</v>
      </c>
      <c r="D83" s="76"/>
      <c r="E83" s="76"/>
      <c r="G83" s="77">
        <f>SUMPRODUCT(G81:G82,B81:B82)/B83</f>
        <v>657.84828992647067</v>
      </c>
    </row>
    <row r="84" spans="1:7" ht="15.75" customHeight="1"/>
    <row r="85" spans="1:7" ht="15.75" customHeight="1">
      <c r="A85" s="76" t="s">
        <v>148</v>
      </c>
      <c r="B85" s="76" t="s">
        <v>147</v>
      </c>
      <c r="C85" s="76" t="s">
        <v>146</v>
      </c>
      <c r="D85" s="76" t="s">
        <v>140</v>
      </c>
      <c r="F85" s="76"/>
      <c r="G85" s="76"/>
    </row>
    <row r="86" spans="1:7" ht="15.75" customHeight="1">
      <c r="A86" s="52" t="s">
        <v>130</v>
      </c>
      <c r="B86" s="58">
        <f>G80</f>
        <v>744.59719990363317</v>
      </c>
      <c r="C86" s="58">
        <f>$G$56</f>
        <v>55</v>
      </c>
      <c r="D86" s="58">
        <f>SUM(B86:C86)</f>
        <v>799.59719990363317</v>
      </c>
    </row>
    <row r="87" spans="1:7" ht="15.75" customHeight="1">
      <c r="A87" s="52" t="s">
        <v>129</v>
      </c>
      <c r="B87" s="58">
        <f>G83</f>
        <v>657.84828992647067</v>
      </c>
      <c r="C87" s="58">
        <f>$G$56</f>
        <v>55</v>
      </c>
      <c r="D87" s="58">
        <f>SUM(B87:C87)</f>
        <v>712.84828992647067</v>
      </c>
    </row>
    <row r="88" spans="1:7" ht="15.75" customHeight="1"/>
    <row r="89" spans="1:7" ht="15.75" customHeight="1"/>
    <row r="90" spans="1:7" ht="15.75" customHeight="1">
      <c r="A90" s="76" t="s">
        <v>145</v>
      </c>
      <c r="B90" s="76" t="s">
        <v>144</v>
      </c>
      <c r="C90" s="76" t="s">
        <v>143</v>
      </c>
      <c r="D90" s="76" t="s">
        <v>142</v>
      </c>
      <c r="E90" s="76" t="s">
        <v>141</v>
      </c>
      <c r="F90" s="76" t="s">
        <v>140</v>
      </c>
    </row>
    <row r="91" spans="1:7" ht="15.75" customHeight="1">
      <c r="A91" s="75" t="s">
        <v>139</v>
      </c>
      <c r="B91" s="74">
        <f>SUM(B68:B71)</f>
        <v>3501</v>
      </c>
      <c r="C91" s="74">
        <f>SUM(C68:C71)</f>
        <v>1659</v>
      </c>
      <c r="D91" s="74">
        <f>SUM(D68:D71)</f>
        <v>1226</v>
      </c>
      <c r="E91" s="74">
        <f>SUM(E68:E71)</f>
        <v>2067</v>
      </c>
      <c r="F91" s="73">
        <f>SUM(B91:E91)</f>
        <v>8453</v>
      </c>
    </row>
    <row r="92" spans="1:7" ht="15.75" customHeight="1">
      <c r="A92" s="72" t="s">
        <v>138</v>
      </c>
      <c r="B92" s="71">
        <f>B13</f>
        <v>1</v>
      </c>
      <c r="C92" s="71">
        <f>C13</f>
        <v>2.1</v>
      </c>
      <c r="D92" s="71">
        <f>D13</f>
        <v>1.9</v>
      </c>
      <c r="E92" s="71">
        <f>E13</f>
        <v>3</v>
      </c>
      <c r="F92" s="70">
        <f>SUMPRODUCT(B92:E92,B91:E91)/F91</f>
        <v>1.8354785283331361</v>
      </c>
    </row>
    <row r="93" spans="1:7" ht="15.75" customHeight="1">
      <c r="A93" s="69" t="s">
        <v>130</v>
      </c>
      <c r="B93" s="68">
        <f t="shared" ref="B93:E94" si="5">B$92/$F$92*$F93</f>
        <v>435.63418888358012</v>
      </c>
      <c r="C93" s="68">
        <f t="shared" si="5"/>
        <v>914.83179665551847</v>
      </c>
      <c r="D93" s="68">
        <f t="shared" si="5"/>
        <v>827.70495887880224</v>
      </c>
      <c r="E93" s="68">
        <f t="shared" si="5"/>
        <v>1306.9025666507405</v>
      </c>
      <c r="F93" s="67">
        <f>D86</f>
        <v>799.59719990363317</v>
      </c>
    </row>
    <row r="94" spans="1:7" ht="15.75" customHeight="1">
      <c r="A94" s="66" t="s">
        <v>129</v>
      </c>
      <c r="B94" s="65">
        <f t="shared" si="5"/>
        <v>388.37190352416366</v>
      </c>
      <c r="C94" s="65">
        <f t="shared" si="5"/>
        <v>815.58099740074385</v>
      </c>
      <c r="D94" s="65">
        <f t="shared" si="5"/>
        <v>737.90661669591088</v>
      </c>
      <c r="E94" s="65">
        <f t="shared" si="5"/>
        <v>1165.115710572491</v>
      </c>
      <c r="F94" s="64">
        <f>D87</f>
        <v>712.84828992647067</v>
      </c>
    </row>
    <row r="95" spans="1:7" ht="15.75" customHeight="1"/>
    <row r="96" spans="1:7" ht="15.75" customHeight="1">
      <c r="A96" s="61" t="s">
        <v>137</v>
      </c>
      <c r="C96" s="52">
        <v>2</v>
      </c>
      <c r="D96" s="52">
        <v>3</v>
      </c>
      <c r="E96" s="52">
        <v>4</v>
      </c>
      <c r="F96" s="52">
        <v>5</v>
      </c>
    </row>
    <row r="97" spans="1:9" ht="15.75" customHeight="1">
      <c r="A97" s="63"/>
      <c r="B97" s="63" t="s">
        <v>130</v>
      </c>
      <c r="C97" s="62">
        <f t="shared" ref="C97:F98" si="6">VLOOKUP($B97,$A$93:$E$94,C$96,FALSE)*(C$27)</f>
        <v>361.57637677337146</v>
      </c>
      <c r="D97" s="62">
        <f t="shared" si="6"/>
        <v>704.42048342474925</v>
      </c>
      <c r="E97" s="62">
        <f t="shared" si="6"/>
        <v>645.60986792546578</v>
      </c>
      <c r="F97" s="62">
        <f t="shared" si="6"/>
        <v>980.17692498805536</v>
      </c>
    </row>
    <row r="98" spans="1:9" ht="15.75" customHeight="1">
      <c r="A98" s="63"/>
      <c r="B98" s="63" t="s">
        <v>129</v>
      </c>
      <c r="C98" s="62">
        <f t="shared" si="6"/>
        <v>322.34867992505582</v>
      </c>
      <c r="D98" s="62">
        <f t="shared" si="6"/>
        <v>627.99736799857283</v>
      </c>
      <c r="E98" s="62">
        <f t="shared" si="6"/>
        <v>575.56716102281052</v>
      </c>
      <c r="F98" s="62">
        <f t="shared" si="6"/>
        <v>873.83678292936827</v>
      </c>
    </row>
    <row r="99" spans="1:9" ht="15.75" customHeight="1">
      <c r="B99" s="60" t="s">
        <v>128</v>
      </c>
      <c r="F99" s="59">
        <f>SUMPRODUCT(C97:F97,B72:E72)+SUMPRODUCT(B73:E73,C98:F98)</f>
        <v>5159052.8704081913</v>
      </c>
    </row>
    <row r="100" spans="1:9" ht="15.75" customHeight="1">
      <c r="A100" s="61" t="s">
        <v>136</v>
      </c>
    </row>
    <row r="101" spans="1:9" ht="15.75" customHeight="1">
      <c r="A101" s="52" t="s">
        <v>135</v>
      </c>
      <c r="B101" s="52"/>
      <c r="C101" s="52"/>
      <c r="D101" s="52"/>
      <c r="E101" s="52"/>
      <c r="F101" s="52"/>
      <c r="G101" s="52"/>
      <c r="H101" s="52"/>
      <c r="I101" s="52"/>
    </row>
    <row r="102" spans="1:9" ht="15.75" customHeight="1">
      <c r="A102" s="52" t="s">
        <v>134</v>
      </c>
      <c r="B102" s="52" t="s">
        <v>130</v>
      </c>
      <c r="C102" s="56">
        <f t="shared" ref="C102:F103" si="7">C17*VLOOKUP($A102,$B$27:$F$29,C$96,FALSE)*B11</f>
        <v>487247.71519999998</v>
      </c>
      <c r="D102" s="56">
        <f t="shared" si="7"/>
        <v>427230.34969999996</v>
      </c>
      <c r="E102" s="56">
        <f t="shared" si="7"/>
        <v>317718.83520000003</v>
      </c>
      <c r="F102" s="56">
        <f t="shared" si="7"/>
        <v>717895.44000000006</v>
      </c>
      <c r="G102" s="52"/>
      <c r="H102" s="52"/>
      <c r="I102" s="52"/>
    </row>
    <row r="103" spans="1:9" ht="15.75" customHeight="1">
      <c r="A103" s="52" t="s">
        <v>134</v>
      </c>
      <c r="B103" s="52" t="s">
        <v>129</v>
      </c>
      <c r="C103" s="56">
        <f t="shared" si="7"/>
        <v>75706.358399999997</v>
      </c>
      <c r="D103" s="56">
        <f t="shared" si="7"/>
        <v>52805.537399999994</v>
      </c>
      <c r="E103" s="56">
        <f t="shared" si="7"/>
        <v>35601.945599999999</v>
      </c>
      <c r="F103" s="56">
        <f t="shared" si="7"/>
        <v>78544.08</v>
      </c>
      <c r="G103" s="52"/>
      <c r="H103" s="52"/>
      <c r="I103" s="52"/>
    </row>
    <row r="104" spans="1:9" ht="15.75" customHeight="1">
      <c r="A104" s="52" t="s">
        <v>133</v>
      </c>
      <c r="B104" s="52" t="s">
        <v>130</v>
      </c>
      <c r="C104" s="56">
        <f t="shared" ref="C104:F105" si="8">C19*VLOOKUP($A104,$B$27:$F$29,C$96,FALSE)*B11</f>
        <v>259459.848</v>
      </c>
      <c r="D104" s="56">
        <f t="shared" si="8"/>
        <v>189271.47749999998</v>
      </c>
      <c r="E104" s="56">
        <f t="shared" si="8"/>
        <v>69532.818000000014</v>
      </c>
      <c r="F104" s="56">
        <f t="shared" si="8"/>
        <v>278767.02720000001</v>
      </c>
      <c r="G104" s="52"/>
      <c r="H104" s="52"/>
      <c r="I104" s="52"/>
    </row>
    <row r="105" spans="1:9" ht="15.75" customHeight="1">
      <c r="A105" s="52" t="s">
        <v>133</v>
      </c>
      <c r="B105" s="52" t="s">
        <v>129</v>
      </c>
      <c r="C105" s="56">
        <f t="shared" si="8"/>
        <v>37397.116799999996</v>
      </c>
      <c r="D105" s="56">
        <f t="shared" si="8"/>
        <v>44930.82</v>
      </c>
      <c r="E105" s="56">
        <f t="shared" si="8"/>
        <v>38483.192799999997</v>
      </c>
      <c r="F105" s="56">
        <f t="shared" si="8"/>
        <v>83847.916799999992</v>
      </c>
      <c r="G105" s="52"/>
      <c r="H105" s="52"/>
      <c r="I105" s="52"/>
    </row>
    <row r="106" spans="1:9" ht="15.75" customHeight="1">
      <c r="A106" s="52" t="s">
        <v>132</v>
      </c>
      <c r="B106" s="52" t="s">
        <v>130</v>
      </c>
      <c r="C106" s="56">
        <f t="shared" ref="C106:F107" si="9">C21*VLOOKUP($A106,$B$27:$F$29,C$96,FALSE)*B11</f>
        <v>4961.8320000000003</v>
      </c>
      <c r="D106" s="56">
        <f t="shared" si="9"/>
        <v>5777.0667000000003</v>
      </c>
      <c r="E106" s="56">
        <f t="shared" si="9"/>
        <v>11185.7142</v>
      </c>
      <c r="F106" s="56">
        <f t="shared" si="9"/>
        <v>31215.576000000001</v>
      </c>
      <c r="G106" s="52"/>
      <c r="H106" s="52"/>
      <c r="I106" s="52"/>
    </row>
    <row r="107" spans="1:9" ht="15.75" customHeight="1">
      <c r="A107" s="52" t="s">
        <v>132</v>
      </c>
      <c r="B107" s="52" t="s">
        <v>129</v>
      </c>
      <c r="C107" s="56">
        <f t="shared" si="9"/>
        <v>593.06880000000001</v>
      </c>
      <c r="D107" s="56">
        <f t="shared" si="9"/>
        <v>575.4298</v>
      </c>
      <c r="E107" s="56">
        <f t="shared" si="9"/>
        <v>2111.0128</v>
      </c>
      <c r="F107" s="56">
        <f t="shared" si="9"/>
        <v>7995.1679999999988</v>
      </c>
      <c r="G107" s="52"/>
      <c r="H107" s="52"/>
      <c r="I107" s="52"/>
    </row>
    <row r="108" spans="1:9" ht="15.75" customHeight="1">
      <c r="A108" s="52"/>
      <c r="B108" s="52" t="s">
        <v>128</v>
      </c>
      <c r="C108" s="52"/>
      <c r="D108" s="52"/>
      <c r="E108" s="52"/>
      <c r="F108" s="59">
        <f>SUM(C102:F107)</f>
        <v>3258855.3468999993</v>
      </c>
      <c r="G108" s="52"/>
      <c r="H108" s="52"/>
      <c r="I108" s="52"/>
    </row>
    <row r="109" spans="1:9" ht="15.75" customHeight="1">
      <c r="A109" s="52" t="s">
        <v>131</v>
      </c>
      <c r="B109" s="52"/>
      <c r="C109" s="52"/>
      <c r="D109" s="52"/>
      <c r="E109" s="52"/>
      <c r="F109" s="52"/>
      <c r="G109" s="52"/>
      <c r="H109" s="52"/>
      <c r="I109" s="52"/>
    </row>
    <row r="110" spans="1:9" ht="15.75" customHeight="1">
      <c r="A110" s="52"/>
      <c r="B110" s="52" t="s">
        <v>130</v>
      </c>
      <c r="C110" s="59">
        <f t="shared" ref="C110:F111" si="10">$C$50*C47*B35</f>
        <v>162870.29999999999</v>
      </c>
      <c r="D110" s="59">
        <f t="shared" si="10"/>
        <v>196774.45</v>
      </c>
      <c r="E110" s="59">
        <f t="shared" si="10"/>
        <v>150381.51</v>
      </c>
      <c r="F110" s="59">
        <f t="shared" si="10"/>
        <v>467109.30000000005</v>
      </c>
      <c r="G110" s="52"/>
      <c r="H110" s="52"/>
      <c r="I110" s="52"/>
    </row>
    <row r="111" spans="1:9" ht="15.75" customHeight="1">
      <c r="A111" s="52"/>
      <c r="B111" s="52" t="s">
        <v>129</v>
      </c>
      <c r="C111" s="59">
        <f t="shared" si="10"/>
        <v>29200.815000000002</v>
      </c>
      <c r="D111" s="59">
        <f t="shared" si="10"/>
        <v>62407.05</v>
      </c>
      <c r="E111" s="59">
        <f t="shared" si="10"/>
        <v>31469.14</v>
      </c>
      <c r="F111" s="59">
        <f t="shared" si="10"/>
        <v>81164.654999999999</v>
      </c>
      <c r="G111" s="52"/>
      <c r="H111" s="52"/>
      <c r="I111" s="52"/>
    </row>
    <row r="112" spans="1:9" ht="15.75" customHeight="1">
      <c r="A112" s="52"/>
      <c r="B112" s="52" t="s">
        <v>128</v>
      </c>
      <c r="C112" s="52"/>
      <c r="D112" s="52"/>
      <c r="E112" s="52"/>
      <c r="F112" s="59">
        <f>SUM(C110:F111)</f>
        <v>1181377.22</v>
      </c>
      <c r="G112" s="52"/>
      <c r="H112" s="52"/>
      <c r="I112" s="52"/>
    </row>
    <row r="113" spans="1:9" ht="15.75" customHeight="1">
      <c r="A113" s="52"/>
      <c r="B113" s="52"/>
      <c r="C113" s="52"/>
      <c r="D113" s="52"/>
      <c r="E113" s="52"/>
      <c r="F113" s="52"/>
      <c r="G113" s="52"/>
      <c r="H113" s="52"/>
      <c r="I113" s="52"/>
    </row>
    <row r="114" spans="1:9" ht="15.75" customHeight="1">
      <c r="A114" s="52" t="s">
        <v>127</v>
      </c>
      <c r="B114" s="59">
        <f>F99</f>
        <v>5159052.8704081913</v>
      </c>
      <c r="C114" s="52"/>
      <c r="D114" s="52"/>
      <c r="E114" s="52"/>
      <c r="F114" s="52"/>
      <c r="G114" s="52"/>
      <c r="H114" s="52"/>
      <c r="I114" s="52"/>
    </row>
    <row r="115" spans="1:9" ht="15.75" customHeight="1">
      <c r="A115" s="52" t="s">
        <v>126</v>
      </c>
      <c r="B115" s="59">
        <f>SUM(F108,F112)</f>
        <v>4440232.566899999</v>
      </c>
      <c r="C115" s="52"/>
      <c r="D115" s="52"/>
      <c r="E115" s="52"/>
      <c r="F115" s="52"/>
      <c r="G115" s="52"/>
      <c r="H115" s="52"/>
      <c r="I115" s="52"/>
    </row>
    <row r="116" spans="1:9" ht="15.75" customHeight="1">
      <c r="A116" s="60" t="s">
        <v>125</v>
      </c>
      <c r="B116" s="59">
        <f>(B114-B115)</f>
        <v>718820.3035081923</v>
      </c>
      <c r="C116" s="58"/>
      <c r="D116" s="52"/>
      <c r="E116" s="52"/>
      <c r="F116" s="52"/>
      <c r="G116" s="52"/>
      <c r="H116" s="52"/>
      <c r="I116" s="52"/>
    </row>
    <row r="117" spans="1:9" ht="15.75" customHeight="1">
      <c r="A117" s="57" t="s">
        <v>124</v>
      </c>
      <c r="B117" s="56">
        <f>B116*12</f>
        <v>8625843.6420983076</v>
      </c>
      <c r="C117" s="52"/>
      <c r="D117" s="52"/>
      <c r="E117" s="52"/>
      <c r="F117" s="52"/>
      <c r="G117" s="52"/>
      <c r="H117" s="52"/>
      <c r="I117" s="52"/>
    </row>
    <row r="118" spans="1:9" ht="15.75" customHeight="1">
      <c r="A118" s="52"/>
      <c r="B118" s="52"/>
      <c r="C118" s="52"/>
      <c r="D118" s="52"/>
      <c r="E118" s="52"/>
      <c r="F118" s="52"/>
      <c r="G118" s="52"/>
      <c r="H118" s="52"/>
      <c r="I118" s="52"/>
    </row>
    <row r="119" spans="1:9" ht="15.75" customHeight="1">
      <c r="A119" s="52"/>
      <c r="B119" s="52"/>
      <c r="C119" s="52"/>
      <c r="D119" s="52"/>
      <c r="E119" s="52"/>
      <c r="F119" s="52"/>
      <c r="G119" s="52"/>
      <c r="H119" s="52"/>
      <c r="I119" s="52"/>
    </row>
    <row r="120" spans="1:9" ht="15.75" customHeight="1">
      <c r="A120" s="52"/>
      <c r="B120" s="52"/>
      <c r="C120" s="52"/>
      <c r="D120" s="52"/>
      <c r="E120" s="52"/>
      <c r="F120" s="52"/>
      <c r="G120" s="52"/>
      <c r="H120" s="52"/>
      <c r="I120" s="52"/>
    </row>
    <row r="121" spans="1:9" ht="15.75" customHeight="1">
      <c r="A121" s="55"/>
      <c r="B121" s="52"/>
      <c r="C121" s="52"/>
      <c r="D121" s="52"/>
      <c r="E121" s="52"/>
      <c r="F121" s="52"/>
      <c r="G121" s="52"/>
      <c r="H121" s="52"/>
      <c r="I121" s="52"/>
    </row>
    <row r="122" spans="1:9" ht="15.75" customHeight="1">
      <c r="A122" s="52"/>
      <c r="B122" s="52"/>
      <c r="C122" s="52"/>
      <c r="D122" s="52"/>
      <c r="E122" s="52"/>
      <c r="F122" s="52"/>
      <c r="G122" s="52"/>
      <c r="H122" s="52"/>
      <c r="I122" s="52"/>
    </row>
    <row r="123" spans="1:9" ht="15.75" customHeight="1">
      <c r="A123" s="52"/>
      <c r="B123" s="52"/>
      <c r="C123" s="52"/>
      <c r="D123" s="52"/>
      <c r="E123" s="52"/>
      <c r="F123" s="52"/>
      <c r="G123" s="52"/>
      <c r="H123" s="52"/>
      <c r="I123" s="52"/>
    </row>
    <row r="124" spans="1:9" ht="15.75" customHeight="1">
      <c r="A124" s="52"/>
      <c r="B124" s="52"/>
      <c r="C124" s="52"/>
      <c r="D124" s="52"/>
      <c r="E124" s="52"/>
      <c r="F124" s="52"/>
      <c r="G124" s="52"/>
      <c r="H124" s="52"/>
      <c r="I124" s="52"/>
    </row>
    <row r="125" spans="1:9" ht="15.75" customHeight="1">
      <c r="A125" s="52"/>
      <c r="B125" s="52"/>
      <c r="C125" s="52"/>
      <c r="D125" s="52"/>
      <c r="E125" s="52"/>
      <c r="F125" s="52"/>
      <c r="G125" s="52"/>
      <c r="H125" s="52"/>
      <c r="I125" s="52"/>
    </row>
    <row r="126" spans="1:9" ht="15.75" customHeight="1">
      <c r="A126" s="52"/>
      <c r="B126" s="52"/>
      <c r="C126" s="52"/>
      <c r="D126" s="52"/>
      <c r="E126" s="52"/>
      <c r="F126" s="52"/>
      <c r="G126" s="52"/>
      <c r="H126" s="52"/>
      <c r="I126" s="52"/>
    </row>
    <row r="127" spans="1:9" ht="15.75" customHeight="1">
      <c r="A127" s="52"/>
      <c r="B127" s="52"/>
      <c r="C127" s="52"/>
      <c r="D127" s="52"/>
      <c r="E127" s="52"/>
      <c r="F127" s="52"/>
      <c r="G127" s="52"/>
      <c r="H127" s="52"/>
      <c r="I127" s="52"/>
    </row>
    <row r="128" spans="1:9" ht="15.75" customHeight="1"/>
    <row r="129" spans="1:9" ht="15.75" customHeight="1"/>
    <row r="130" spans="1:9" ht="15.75" customHeight="1">
      <c r="A130" s="53"/>
      <c r="B130" s="53"/>
      <c r="C130" s="53"/>
      <c r="D130" s="53"/>
      <c r="E130" s="53"/>
      <c r="F130" s="53"/>
      <c r="G130" s="53"/>
      <c r="H130" s="53"/>
      <c r="I130" s="53"/>
    </row>
    <row r="131" spans="1:9" ht="15.75" customHeight="1">
      <c r="A131" s="54"/>
      <c r="B131" s="53"/>
      <c r="C131" s="53"/>
      <c r="D131" s="53"/>
      <c r="E131" s="53"/>
      <c r="F131" s="53"/>
      <c r="G131" s="53"/>
      <c r="H131" s="53"/>
      <c r="I131" s="53"/>
    </row>
    <row r="132" spans="1:9" ht="15.75" customHeight="1">
      <c r="A132" s="53"/>
      <c r="B132" s="53"/>
      <c r="C132" s="53"/>
      <c r="D132" s="53"/>
      <c r="E132" s="53"/>
      <c r="F132" s="53"/>
      <c r="G132" s="53"/>
      <c r="H132" s="53"/>
      <c r="I132" s="53"/>
    </row>
    <row r="133" spans="1:9" ht="15.75" customHeight="1">
      <c r="A133" s="53"/>
      <c r="B133" s="53"/>
      <c r="C133" s="53"/>
      <c r="D133" s="53"/>
      <c r="E133" s="53"/>
      <c r="F133" s="53"/>
      <c r="G133" s="53"/>
      <c r="H133" s="53"/>
      <c r="I133" s="53"/>
    </row>
    <row r="134" spans="1:9" ht="15.75" customHeight="1">
      <c r="A134" s="53"/>
      <c r="B134" s="53"/>
      <c r="C134" s="53"/>
      <c r="D134" s="53"/>
      <c r="E134" s="53"/>
      <c r="F134" s="53"/>
      <c r="G134" s="53"/>
      <c r="H134" s="53"/>
      <c r="I134" s="53"/>
    </row>
    <row r="135" spans="1:9" ht="15.75" customHeight="1">
      <c r="A135" s="53"/>
      <c r="B135" s="53"/>
      <c r="C135" s="53"/>
      <c r="D135" s="53"/>
      <c r="E135" s="53"/>
      <c r="F135" s="53"/>
      <c r="G135" s="53"/>
      <c r="H135" s="53"/>
      <c r="I135" s="53"/>
    </row>
    <row r="136" spans="1:9" ht="15.75" customHeight="1">
      <c r="A136" s="53"/>
      <c r="B136" s="53"/>
      <c r="C136" s="53"/>
      <c r="D136" s="53"/>
      <c r="E136" s="53"/>
      <c r="F136" s="53"/>
      <c r="G136" s="53"/>
      <c r="H136" s="53"/>
      <c r="I136" s="53"/>
    </row>
    <row r="137" spans="1:9" ht="15.75" customHeight="1">
      <c r="A137" s="52"/>
      <c r="B137" s="52"/>
    </row>
    <row r="138" spans="1:9" ht="15.75" customHeight="1">
      <c r="A138" s="52"/>
    </row>
    <row r="139" spans="1:9" ht="15.75" customHeight="1"/>
    <row r="140" spans="1:9" ht="15.75" customHeight="1"/>
    <row r="141" spans="1:9" ht="15.75" customHeight="1"/>
    <row r="142" spans="1:9" ht="15.75" customHeight="1"/>
    <row r="143" spans="1:9" ht="15.75" customHeight="1"/>
    <row r="144" spans="1:9" ht="15.75" customHeight="1"/>
    <row r="145" s="51" customFormat="1" ht="15.75" customHeight="1"/>
    <row r="146" s="51" customFormat="1" ht="15.75" customHeight="1"/>
    <row r="147" s="51" customFormat="1" ht="15.75" customHeight="1"/>
    <row r="148" s="51" customFormat="1" ht="15.75" customHeight="1"/>
    <row r="149" s="51" customFormat="1" ht="15.75" customHeight="1"/>
    <row r="150" s="51" customFormat="1" ht="15.75" customHeight="1"/>
    <row r="151" s="51" customFormat="1" ht="15.75" customHeight="1"/>
    <row r="152" s="51" customFormat="1" ht="15.75" customHeight="1"/>
    <row r="153" s="51" customFormat="1" ht="15.75" customHeight="1"/>
    <row r="154" s="51" customFormat="1" ht="15.75" customHeight="1"/>
    <row r="155" s="51" customFormat="1" ht="15.75" customHeight="1"/>
    <row r="156" s="51" customFormat="1" ht="15.75" customHeight="1"/>
    <row r="157" s="51" customFormat="1" ht="15.75" customHeight="1"/>
    <row r="158" s="51" customFormat="1" ht="15.75" customHeight="1"/>
    <row r="159" s="51" customFormat="1" ht="15.75" customHeight="1"/>
    <row r="160" s="51" customFormat="1" ht="15.75" customHeight="1"/>
    <row r="161" s="51" customFormat="1" ht="15.75" customHeight="1"/>
    <row r="162" s="51" customFormat="1" ht="15.75" customHeight="1"/>
    <row r="163" s="51" customFormat="1" ht="15.75" customHeight="1"/>
    <row r="164" s="51" customFormat="1" ht="15.75" customHeight="1"/>
    <row r="165" s="51" customFormat="1" ht="15.75" customHeight="1"/>
    <row r="166" s="51" customFormat="1" ht="15.75" customHeight="1"/>
    <row r="167" s="51" customFormat="1" ht="15.75" customHeight="1"/>
    <row r="168" s="51" customFormat="1" ht="15.75" customHeight="1"/>
    <row r="169" s="51" customFormat="1" ht="15.75" customHeight="1"/>
    <row r="170" s="51" customFormat="1" ht="15.75" customHeight="1"/>
    <row r="171" s="51" customFormat="1" ht="15.75" customHeight="1"/>
    <row r="172" s="51" customFormat="1" ht="15.75" customHeight="1"/>
    <row r="173" s="51" customFormat="1" ht="15.75" customHeight="1"/>
    <row r="174" s="51" customFormat="1" ht="15.75" customHeight="1"/>
    <row r="175" s="51" customFormat="1" ht="15.75" customHeight="1"/>
    <row r="176" s="51" customFormat="1" ht="15.75" customHeight="1"/>
    <row r="177" s="51" customFormat="1" ht="15.75" customHeight="1"/>
    <row r="178" s="51" customFormat="1" ht="15.75" customHeight="1"/>
    <row r="179" s="51" customFormat="1" ht="15.75" customHeight="1"/>
    <row r="180" s="51" customFormat="1" ht="15.75" customHeight="1"/>
    <row r="181" s="51" customFormat="1" ht="15.75" customHeight="1"/>
    <row r="182" s="51" customFormat="1" ht="15.75" customHeight="1"/>
    <row r="183" s="51" customFormat="1" ht="15.75" customHeight="1"/>
    <row r="184" s="51" customFormat="1" ht="15.75" customHeight="1"/>
    <row r="185" s="51" customFormat="1" ht="15.75" customHeight="1"/>
    <row r="186" s="51" customFormat="1" ht="15.75" customHeight="1"/>
    <row r="187" s="51" customFormat="1" ht="15.75" customHeight="1"/>
    <row r="188" s="51" customFormat="1" ht="15.75" customHeight="1"/>
    <row r="189" s="51" customFormat="1" ht="15.75" customHeight="1"/>
    <row r="190" s="51" customFormat="1" ht="15.75" customHeight="1"/>
    <row r="191" s="51" customFormat="1" ht="15.75" customHeight="1"/>
    <row r="192" s="51" customFormat="1" ht="15.75" customHeight="1"/>
    <row r="193" s="51" customFormat="1" ht="15.75" customHeight="1"/>
    <row r="194" s="51" customFormat="1" ht="15.75" customHeight="1"/>
    <row r="195" s="51" customFormat="1" ht="15.75" customHeight="1"/>
    <row r="196" s="51" customFormat="1" ht="15.75" customHeight="1"/>
    <row r="197" s="51" customFormat="1" ht="15.75" customHeight="1"/>
    <row r="198" s="51" customFormat="1" ht="15.75" customHeight="1"/>
    <row r="199" s="51" customFormat="1" ht="15.75" customHeight="1"/>
    <row r="200" s="51" customFormat="1" ht="15.75" customHeight="1"/>
    <row r="201" s="51" customFormat="1" ht="15.75" customHeight="1"/>
    <row r="202" s="51" customFormat="1" ht="15.75" customHeight="1"/>
    <row r="203" s="51" customFormat="1" ht="15.75" customHeight="1"/>
    <row r="204" s="51" customFormat="1" ht="15.75" customHeight="1"/>
    <row r="205" s="51" customFormat="1" ht="15.75" customHeight="1"/>
    <row r="206" s="51" customFormat="1" ht="15.75" customHeight="1"/>
    <row r="207" s="51" customFormat="1" ht="15.75" customHeight="1"/>
    <row r="208" s="51" customFormat="1" ht="15.75" customHeight="1"/>
    <row r="209" s="51" customFormat="1" ht="15.75" customHeight="1"/>
    <row r="210" s="51" customFormat="1" ht="15.75" customHeight="1"/>
    <row r="211" s="51" customFormat="1" ht="15.75" customHeight="1"/>
    <row r="212" s="51" customFormat="1" ht="15.75" customHeight="1"/>
    <row r="213" s="51" customFormat="1" ht="15.75" customHeight="1"/>
    <row r="214" s="51" customFormat="1" ht="15.75" customHeight="1"/>
    <row r="215" s="51" customFormat="1" ht="15.75" customHeight="1"/>
    <row r="216" s="51" customFormat="1" ht="15.75" customHeight="1"/>
    <row r="217" s="51" customFormat="1" ht="15.75" customHeight="1"/>
    <row r="218" s="51" customFormat="1" ht="15.75" customHeight="1"/>
    <row r="219" s="51" customFormat="1" ht="15.75" customHeight="1"/>
    <row r="220" s="51" customFormat="1" ht="15.75" customHeight="1"/>
    <row r="221" s="51" customFormat="1" ht="15.75" customHeight="1"/>
    <row r="222" s="51" customFormat="1" ht="15.75" customHeight="1"/>
    <row r="223" s="51" customFormat="1" ht="15.75" customHeight="1"/>
    <row r="224" s="51" customFormat="1" ht="15.75" customHeight="1"/>
    <row r="225" s="51" customFormat="1" ht="15.75" customHeight="1"/>
    <row r="226" s="51" customFormat="1" ht="15.75" customHeight="1"/>
    <row r="227" s="51" customFormat="1" ht="15.75" customHeight="1"/>
    <row r="228" s="51" customFormat="1" ht="15.75" customHeight="1"/>
    <row r="229" s="51" customFormat="1" ht="15.75" customHeight="1"/>
    <row r="230" s="51" customFormat="1" ht="15.75" customHeight="1"/>
    <row r="231" s="51" customFormat="1" ht="15.75" customHeight="1"/>
    <row r="232" s="51" customFormat="1" ht="15.75" customHeight="1"/>
    <row r="233" s="51" customFormat="1" ht="15.75" customHeight="1"/>
    <row r="234" s="51" customFormat="1" ht="15.75" customHeight="1"/>
    <row r="235" s="51" customFormat="1" ht="15.75" customHeight="1"/>
    <row r="236" s="51" customFormat="1" ht="15.75" customHeight="1"/>
    <row r="237" s="51" customFormat="1" ht="15.75" customHeight="1"/>
    <row r="238" s="51" customFormat="1" ht="15.75" customHeight="1"/>
    <row r="239" s="51" customFormat="1" ht="15.75" customHeight="1"/>
    <row r="240" s="51" customFormat="1" ht="15.75" customHeight="1"/>
    <row r="241" s="51" customFormat="1" ht="15.75" customHeight="1"/>
    <row r="242" s="51" customFormat="1" ht="15.75" customHeight="1"/>
    <row r="243" s="51" customFormat="1" ht="15.75" customHeight="1"/>
    <row r="244" s="51" customFormat="1" ht="15.75" customHeight="1"/>
    <row r="245" s="51" customFormat="1" ht="15.75" customHeight="1"/>
    <row r="246" s="51" customFormat="1" ht="15.75" customHeight="1"/>
    <row r="247" s="51" customFormat="1" ht="15.75" customHeight="1"/>
    <row r="248" s="51" customFormat="1" ht="15.75" customHeight="1"/>
    <row r="249" s="51" customFormat="1" ht="15.75" customHeight="1"/>
    <row r="250" s="51" customFormat="1" ht="15.75" customHeight="1"/>
    <row r="251" s="51" customFormat="1" ht="15.75" customHeight="1"/>
    <row r="252" s="51" customFormat="1" ht="15.75" customHeight="1"/>
    <row r="253" s="51" customFormat="1" ht="15.75" customHeight="1"/>
    <row r="254" s="51" customFormat="1" ht="15.75" customHeight="1"/>
    <row r="255" s="51" customFormat="1" ht="15.75" customHeight="1"/>
    <row r="256" s="51" customFormat="1" ht="15.75" customHeight="1"/>
    <row r="257" s="51" customFormat="1" ht="15.75" customHeight="1"/>
    <row r="258" s="51" customFormat="1" ht="15.75" customHeight="1"/>
    <row r="259" s="51" customFormat="1" ht="15.75" customHeight="1"/>
    <row r="260" s="51" customFormat="1" ht="15.75" customHeight="1"/>
    <row r="261" s="51" customFormat="1" ht="15.75" customHeight="1"/>
    <row r="262" s="51" customFormat="1" ht="15.75" customHeight="1"/>
    <row r="263" s="51" customFormat="1" ht="15.75" customHeight="1"/>
    <row r="264" s="51" customFormat="1" ht="15.75" customHeight="1"/>
    <row r="265" s="51" customFormat="1" ht="15.75" customHeight="1"/>
    <row r="266" s="51" customFormat="1" ht="15.75" customHeight="1"/>
    <row r="267" s="51" customFormat="1" ht="15.75" customHeight="1"/>
    <row r="268" s="51" customFormat="1" ht="15.75" customHeight="1"/>
    <row r="269" s="51" customFormat="1" ht="15.75" customHeight="1"/>
    <row r="270" s="51" customFormat="1" ht="15.75" customHeight="1"/>
    <row r="271" s="51" customFormat="1" ht="15.75" customHeight="1"/>
    <row r="272" s="51" customFormat="1" ht="15.75" customHeight="1"/>
    <row r="273" s="51" customFormat="1" ht="15.75" customHeight="1"/>
    <row r="274" s="51" customFormat="1" ht="15.75" customHeight="1"/>
    <row r="275" s="51" customFormat="1" ht="15.75" customHeight="1"/>
    <row r="276" s="51" customFormat="1" ht="15.75" customHeight="1"/>
    <row r="277" s="51" customFormat="1" ht="15.75" customHeight="1"/>
    <row r="278" s="51" customFormat="1" ht="15.75" customHeight="1"/>
    <row r="279" s="51" customFormat="1" ht="15.75" customHeight="1"/>
    <row r="280" s="51" customFormat="1" ht="15.75" customHeight="1"/>
    <row r="281" s="51" customFormat="1" ht="15.75" customHeight="1"/>
    <row r="282" s="51" customFormat="1" ht="15.75" customHeight="1"/>
    <row r="283" s="51" customFormat="1" ht="15.75" customHeight="1"/>
    <row r="284" s="51" customFormat="1" ht="15.75" customHeight="1"/>
    <row r="285" s="51" customFormat="1" ht="15.75" customHeight="1"/>
    <row r="286" s="51" customFormat="1" ht="15.75" customHeight="1"/>
    <row r="287" s="51" customFormat="1" ht="15.75" customHeight="1"/>
    <row r="288" s="51" customFormat="1" ht="15.75" customHeight="1"/>
    <row r="289" s="51" customFormat="1" ht="15.75" customHeight="1"/>
    <row r="290" s="51" customFormat="1" ht="15.75" customHeight="1"/>
    <row r="291" s="51" customFormat="1" ht="15.75" customHeight="1"/>
    <row r="292" s="51" customFormat="1" ht="15.75" customHeight="1"/>
    <row r="293" s="51" customFormat="1" ht="15.75" customHeight="1"/>
    <row r="294" s="51" customFormat="1" ht="15.75" customHeight="1"/>
    <row r="295" s="51" customFormat="1" ht="15.75" customHeight="1"/>
    <row r="296" s="51" customFormat="1" ht="15.75" customHeight="1"/>
    <row r="297" s="51" customFormat="1" ht="15.75" customHeight="1"/>
    <row r="298" s="51" customFormat="1" ht="15.75" customHeight="1"/>
    <row r="299" s="51" customFormat="1" ht="15.75" customHeight="1"/>
    <row r="300" s="51" customFormat="1" ht="15.75" customHeight="1"/>
    <row r="301" s="51" customFormat="1" ht="15.75" customHeight="1"/>
    <row r="302" s="51" customFormat="1" ht="15.75" customHeight="1"/>
    <row r="303" s="51" customFormat="1" ht="15.75" customHeight="1"/>
    <row r="304" s="51" customFormat="1" ht="15.75" customHeight="1"/>
    <row r="305" s="51" customFormat="1" ht="15.75" customHeight="1"/>
    <row r="306" s="51" customFormat="1" ht="15.75" customHeight="1"/>
    <row r="307" s="51" customFormat="1" ht="15.75" customHeight="1"/>
    <row r="308" s="51" customFormat="1" ht="15.75" customHeight="1"/>
    <row r="309" s="51" customFormat="1" ht="15.75" customHeight="1"/>
    <row r="310" s="51" customFormat="1" ht="15.75" customHeight="1"/>
    <row r="311" s="51" customFormat="1" ht="15.75" customHeight="1"/>
    <row r="312" s="51" customFormat="1" ht="15.75" customHeight="1"/>
    <row r="313" s="51" customFormat="1" ht="15.75" customHeight="1"/>
    <row r="314" s="51" customFormat="1" ht="15.75" customHeight="1"/>
    <row r="315" s="51" customFormat="1" ht="15.75" customHeight="1"/>
    <row r="316" s="51" customFormat="1" ht="15.75" customHeight="1"/>
    <row r="317" s="51" customFormat="1" ht="15.75" customHeight="1"/>
    <row r="318" s="51" customFormat="1" ht="15.75" customHeight="1"/>
    <row r="319" s="51" customFormat="1" ht="15.75" customHeight="1"/>
    <row r="320" s="51" customFormat="1" ht="15.75" customHeight="1"/>
    <row r="321" s="51" customFormat="1" ht="15.75" customHeight="1"/>
    <row r="322" s="51" customFormat="1" ht="15.75" customHeight="1"/>
    <row r="323" s="51" customFormat="1" ht="15.75" customHeight="1"/>
    <row r="324" s="51" customFormat="1" ht="15.75" customHeight="1"/>
    <row r="325" s="51" customFormat="1" ht="15.75" customHeight="1"/>
    <row r="326" s="51" customFormat="1" ht="15.75" customHeight="1"/>
    <row r="327" s="51" customFormat="1" ht="15.75" customHeight="1"/>
    <row r="328" s="51" customFormat="1" ht="15.75" customHeight="1"/>
    <row r="329" s="51" customFormat="1" ht="15.75" customHeight="1"/>
    <row r="330" s="51" customFormat="1" ht="15.75" customHeight="1"/>
    <row r="331" s="51" customFormat="1" ht="15.75" customHeight="1"/>
    <row r="332" s="51" customFormat="1" ht="15.75" customHeight="1"/>
    <row r="333" s="51" customFormat="1" ht="15.75" customHeight="1"/>
    <row r="334" s="51" customFormat="1" ht="15.75" customHeight="1"/>
    <row r="335" s="51" customFormat="1" ht="15.75" customHeight="1"/>
    <row r="336" s="51" customFormat="1" ht="15.75" customHeight="1"/>
    <row r="337" s="51" customFormat="1" ht="15.75" customHeight="1"/>
    <row r="338" s="51" customFormat="1" ht="15.75" customHeight="1"/>
    <row r="339" s="51" customFormat="1" ht="15.75" customHeight="1"/>
    <row r="340" s="51" customFormat="1" ht="15.75" customHeight="1"/>
    <row r="341" s="51" customFormat="1" ht="15.75" customHeight="1"/>
    <row r="342" s="51" customFormat="1" ht="15.75" customHeight="1"/>
    <row r="343" s="51" customFormat="1" ht="15.75" customHeight="1"/>
    <row r="344" s="51" customFormat="1" ht="15.75" customHeight="1"/>
    <row r="345" s="51" customFormat="1" ht="15.75" customHeight="1"/>
    <row r="346" s="51" customFormat="1" ht="15.75" customHeight="1"/>
    <row r="347" s="51" customFormat="1" ht="15.75" customHeight="1"/>
    <row r="348" s="51" customFormat="1" ht="15.75" customHeight="1"/>
    <row r="349" s="51" customFormat="1" ht="15.75" customHeight="1"/>
    <row r="350" s="51" customFormat="1" ht="15.75" customHeight="1"/>
    <row r="351" s="51" customFormat="1" ht="15.75" customHeight="1"/>
    <row r="352" s="51" customFormat="1" ht="15.75" customHeight="1"/>
    <row r="353" s="51" customFormat="1" ht="15.75" customHeight="1"/>
    <row r="354" s="51" customFormat="1" ht="15.75" customHeight="1"/>
    <row r="355" s="51" customFormat="1" ht="15.75" customHeight="1"/>
    <row r="356" s="51" customFormat="1" ht="15.75" customHeight="1"/>
    <row r="357" s="51" customFormat="1" ht="15.75" customHeight="1"/>
    <row r="358" s="51" customFormat="1" ht="15.75" customHeight="1"/>
    <row r="359" s="51" customFormat="1" ht="15.75" customHeight="1"/>
    <row r="360" s="51" customFormat="1" ht="15.75" customHeight="1"/>
    <row r="361" s="51" customFormat="1" ht="15.75" customHeight="1"/>
    <row r="362" s="51" customFormat="1" ht="15.75" customHeight="1"/>
    <row r="363" s="51" customFormat="1" ht="15.75" customHeight="1"/>
    <row r="364" s="51" customFormat="1" ht="15.75" customHeight="1"/>
    <row r="365" s="51" customFormat="1" ht="15.75" customHeight="1"/>
    <row r="366" s="51" customFormat="1" ht="15.75" customHeight="1"/>
    <row r="367" s="51" customFormat="1" ht="15.75" customHeight="1"/>
    <row r="368" s="51" customFormat="1" ht="15.75" customHeight="1"/>
    <row r="369" s="51" customFormat="1" ht="15.75" customHeight="1"/>
    <row r="370" s="51" customFormat="1" ht="15.75" customHeight="1"/>
    <row r="371" s="51" customFormat="1" ht="15.75" customHeight="1"/>
    <row r="372" s="51" customFormat="1" ht="15.75" customHeight="1"/>
    <row r="373" s="51" customFormat="1" ht="15.75" customHeight="1"/>
    <row r="374" s="51" customFormat="1" ht="15.75" customHeight="1"/>
    <row r="375" s="51" customFormat="1" ht="15.75" customHeight="1"/>
    <row r="376" s="51" customFormat="1" ht="15.75" customHeight="1"/>
    <row r="377" s="51" customFormat="1" ht="15.75" customHeight="1"/>
    <row r="378" s="51" customFormat="1" ht="15.75" customHeight="1"/>
    <row r="379" s="51" customFormat="1" ht="15.75" customHeight="1"/>
    <row r="380" s="51" customFormat="1" ht="15.75" customHeight="1"/>
    <row r="381" s="51" customFormat="1" ht="15.75" customHeight="1"/>
    <row r="382" s="51" customFormat="1" ht="15.75" customHeight="1"/>
    <row r="383" s="51" customFormat="1" ht="15.75" customHeight="1"/>
    <row r="384" s="51" customFormat="1" ht="15.75" customHeight="1"/>
    <row r="385" s="51" customFormat="1" ht="15.75" customHeight="1"/>
    <row r="386" s="51" customFormat="1" ht="15.75" customHeight="1"/>
    <row r="387" s="51" customFormat="1" ht="15.75" customHeight="1"/>
    <row r="388" s="51" customFormat="1" ht="15.75" customHeight="1"/>
    <row r="389" s="51" customFormat="1" ht="15.75" customHeight="1"/>
    <row r="390" s="51" customFormat="1" ht="15.75" customHeight="1"/>
    <row r="391" s="51" customFormat="1" ht="15.75" customHeight="1"/>
    <row r="392" s="51" customFormat="1" ht="15.75" customHeight="1"/>
    <row r="393" s="51" customFormat="1" ht="15.75" customHeight="1"/>
    <row r="394" s="51" customFormat="1" ht="15.75" customHeight="1"/>
    <row r="395" s="51" customFormat="1" ht="15.75" customHeight="1"/>
    <row r="396" s="51" customFormat="1" ht="15.75" customHeight="1"/>
    <row r="397" s="51" customFormat="1" ht="15.75" customHeight="1"/>
    <row r="398" s="51" customFormat="1" ht="15.75" customHeight="1"/>
    <row r="399" s="51" customFormat="1" ht="15.75" customHeight="1"/>
    <row r="400" s="51" customFormat="1" ht="15.75" customHeight="1"/>
    <row r="401" s="51" customFormat="1" ht="15.75" customHeight="1"/>
    <row r="402" s="51" customFormat="1" ht="15.75" customHeight="1"/>
    <row r="403" s="51" customFormat="1" ht="15.75" customHeight="1"/>
    <row r="404" s="51" customFormat="1" ht="15.75" customHeight="1"/>
    <row r="405" s="51" customFormat="1" ht="15.75" customHeight="1"/>
    <row r="406" s="51" customFormat="1" ht="15.75" customHeight="1"/>
    <row r="407" s="51" customFormat="1" ht="15.75" customHeight="1"/>
    <row r="408" s="51" customFormat="1" ht="15.75" customHeight="1"/>
    <row r="409" s="51" customFormat="1" ht="15.75" customHeight="1"/>
    <row r="410" s="51" customFormat="1" ht="15.75" customHeight="1"/>
    <row r="411" s="51" customFormat="1" ht="15.75" customHeight="1"/>
    <row r="412" s="51" customFormat="1" ht="15.75" customHeight="1"/>
    <row r="413" s="51" customFormat="1" ht="15.75" customHeight="1"/>
    <row r="414" s="51" customFormat="1" ht="15.75" customHeight="1"/>
    <row r="415" s="51" customFormat="1" ht="15.75" customHeight="1"/>
    <row r="416" s="51" customFormat="1" ht="15.75" customHeight="1"/>
    <row r="417" s="51" customFormat="1" ht="15.75" customHeight="1"/>
    <row r="418" s="51" customFormat="1" ht="15.75" customHeight="1"/>
    <row r="419" s="51" customFormat="1" ht="15.75" customHeight="1"/>
    <row r="420" s="51" customFormat="1" ht="15.75" customHeight="1"/>
    <row r="421" s="51" customFormat="1" ht="15.75" customHeight="1"/>
    <row r="422" s="51" customFormat="1" ht="15.75" customHeight="1"/>
    <row r="423" s="51" customFormat="1" ht="15.75" customHeight="1"/>
    <row r="424" s="51" customFormat="1" ht="15.75" customHeight="1"/>
    <row r="425" s="51" customFormat="1" ht="15.75" customHeight="1"/>
    <row r="426" s="51" customFormat="1" ht="15.75" customHeight="1"/>
    <row r="427" s="51" customFormat="1" ht="15.75" customHeight="1"/>
    <row r="428" s="51" customFormat="1" ht="15.75" customHeight="1"/>
    <row r="429" s="51" customFormat="1" ht="15.75" customHeight="1"/>
    <row r="430" s="51" customFormat="1" ht="15.75" customHeight="1"/>
    <row r="431" s="51" customFormat="1" ht="15.75" customHeight="1"/>
    <row r="432" s="51" customFormat="1" ht="15.75" customHeight="1"/>
    <row r="433" s="51" customFormat="1" ht="15.75" customHeight="1"/>
    <row r="434" s="51" customFormat="1" ht="15.75" customHeight="1"/>
    <row r="435" s="51" customFormat="1" ht="15.75" customHeight="1"/>
    <row r="436" s="51" customFormat="1" ht="15.75" customHeight="1"/>
    <row r="437" s="51" customFormat="1" ht="15.75" customHeight="1"/>
    <row r="438" s="51" customFormat="1" ht="15.75" customHeight="1"/>
    <row r="439" s="51" customFormat="1" ht="15.75" customHeight="1"/>
    <row r="440" s="51" customFormat="1" ht="15.75" customHeight="1"/>
    <row r="441" s="51" customFormat="1" ht="15.75" customHeight="1"/>
    <row r="442" s="51" customFormat="1" ht="15.75" customHeight="1"/>
    <row r="443" s="51" customFormat="1" ht="15.75" customHeight="1"/>
    <row r="444" s="51" customFormat="1" ht="15.75" customHeight="1"/>
    <row r="445" s="51" customFormat="1" ht="15.75" customHeight="1"/>
    <row r="446" s="51" customFormat="1" ht="15.75" customHeight="1"/>
    <row r="447" s="51" customFormat="1" ht="15.75" customHeight="1"/>
    <row r="448" s="51" customFormat="1" ht="15.75" customHeight="1"/>
    <row r="449" s="51" customFormat="1" ht="15.75" customHeight="1"/>
    <row r="450" s="51" customFormat="1" ht="15.75" customHeight="1"/>
    <row r="451" s="51" customFormat="1" ht="15.75" customHeight="1"/>
    <row r="452" s="51" customFormat="1" ht="15.75" customHeight="1"/>
    <row r="453" s="51" customFormat="1" ht="15.75" customHeight="1"/>
    <row r="454" s="51" customFormat="1" ht="15.75" customHeight="1"/>
    <row r="455" s="51" customFormat="1" ht="15.75" customHeight="1"/>
    <row r="456" s="51" customFormat="1" ht="15.75" customHeight="1"/>
    <row r="457" s="51" customFormat="1" ht="15.75" customHeight="1"/>
    <row r="458" s="51" customFormat="1" ht="15.75" customHeight="1"/>
    <row r="459" s="51" customFormat="1" ht="15.75" customHeight="1"/>
    <row r="460" s="51" customFormat="1" ht="15.75" customHeight="1"/>
    <row r="461" s="51" customFormat="1" ht="15.75" customHeight="1"/>
    <row r="462" s="51" customFormat="1" ht="15.75" customHeight="1"/>
    <row r="463" s="51" customFormat="1" ht="15.75" customHeight="1"/>
    <row r="464" s="51" customFormat="1" ht="15.75" customHeight="1"/>
    <row r="465" s="51" customFormat="1" ht="15.75" customHeight="1"/>
    <row r="466" s="51" customFormat="1" ht="15.75" customHeight="1"/>
    <row r="467" s="51" customFormat="1" ht="15.75" customHeight="1"/>
    <row r="468" s="51" customFormat="1" ht="15.75" customHeight="1"/>
    <row r="469" s="51" customFormat="1" ht="15.75" customHeight="1"/>
    <row r="470" s="51" customFormat="1" ht="15.75" customHeight="1"/>
    <row r="471" s="51" customFormat="1" ht="15.75" customHeight="1"/>
    <row r="472" s="51" customFormat="1" ht="15.75" customHeight="1"/>
    <row r="473" s="51" customFormat="1" ht="15.75" customHeight="1"/>
    <row r="474" s="51" customFormat="1" ht="15.75" customHeight="1"/>
    <row r="475" s="51" customFormat="1" ht="15.75" customHeight="1"/>
    <row r="476" s="51" customFormat="1" ht="15.75" customHeight="1"/>
    <row r="477" s="51" customFormat="1" ht="15.75" customHeight="1"/>
    <row r="478" s="51" customFormat="1" ht="15.75" customHeight="1"/>
    <row r="479" s="51" customFormat="1" ht="15.75" customHeight="1"/>
    <row r="480" s="51" customFormat="1" ht="15.75" customHeight="1"/>
    <row r="481" s="51" customFormat="1" ht="15.75" customHeight="1"/>
    <row r="482" s="51" customFormat="1" ht="15.75" customHeight="1"/>
    <row r="483" s="51" customFormat="1" ht="15.75" customHeight="1"/>
    <row r="484" s="51" customFormat="1" ht="15.75" customHeight="1"/>
    <row r="485" s="51" customFormat="1" ht="15.75" customHeight="1"/>
    <row r="486" s="51" customFormat="1" ht="15.75" customHeight="1"/>
    <row r="487" s="51" customFormat="1" ht="15.75" customHeight="1"/>
    <row r="488" s="51" customFormat="1" ht="15.75" customHeight="1"/>
    <row r="489" s="51" customFormat="1" ht="15.75" customHeight="1"/>
    <row r="490" s="51" customFormat="1" ht="15.75" customHeight="1"/>
    <row r="491" s="51" customFormat="1" ht="15.75" customHeight="1"/>
    <row r="492" s="51" customFormat="1" ht="15.75" customHeight="1"/>
    <row r="493" s="51" customFormat="1" ht="15.75" customHeight="1"/>
    <row r="494" s="51" customFormat="1" ht="15.75" customHeight="1"/>
    <row r="495" s="51" customFormat="1" ht="15.75" customHeight="1"/>
    <row r="496" s="51" customFormat="1" ht="15.75" customHeight="1"/>
    <row r="497" s="51" customFormat="1" ht="15.75" customHeight="1"/>
    <row r="498" s="51" customFormat="1" ht="15.75" customHeight="1"/>
    <row r="499" s="51" customFormat="1" ht="15.75" customHeight="1"/>
    <row r="500" s="51" customFormat="1" ht="15.75" customHeight="1"/>
    <row r="501" s="51" customFormat="1" ht="15.75" customHeight="1"/>
    <row r="502" s="51" customFormat="1" ht="15.75" customHeight="1"/>
    <row r="503" s="51" customFormat="1" ht="15.75" customHeight="1"/>
    <row r="504" s="51" customFormat="1" ht="15.75" customHeight="1"/>
    <row r="505" s="51" customFormat="1" ht="15.75" customHeight="1"/>
    <row r="506" s="51" customFormat="1" ht="15.75" customHeight="1"/>
    <row r="507" s="51" customFormat="1" ht="15.75" customHeight="1"/>
    <row r="508" s="51" customFormat="1" ht="15.75" customHeight="1"/>
    <row r="509" s="51" customFormat="1" ht="15.75" customHeight="1"/>
    <row r="510" s="51" customFormat="1" ht="15.75" customHeight="1"/>
    <row r="511" s="51" customFormat="1" ht="15.75" customHeight="1"/>
    <row r="512" s="51" customFormat="1" ht="15.75" customHeight="1"/>
    <row r="513" s="51" customFormat="1" ht="15.75" customHeight="1"/>
    <row r="514" s="51" customFormat="1" ht="15.75" customHeight="1"/>
    <row r="515" s="51" customFormat="1" ht="15.75" customHeight="1"/>
    <row r="516" s="51" customFormat="1" ht="15.75" customHeight="1"/>
    <row r="517" s="51" customFormat="1" ht="15.75" customHeight="1"/>
    <row r="518" s="51" customFormat="1" ht="15.75" customHeight="1"/>
    <row r="519" s="51" customFormat="1" ht="15.75" customHeight="1"/>
    <row r="520" s="51" customFormat="1" ht="15.75" customHeight="1"/>
    <row r="521" s="51" customFormat="1" ht="15.75" customHeight="1"/>
    <row r="522" s="51" customFormat="1" ht="15.75" customHeight="1"/>
    <row r="523" s="51" customFormat="1" ht="15.75" customHeight="1"/>
    <row r="524" s="51" customFormat="1" ht="15.75" customHeight="1"/>
    <row r="525" s="51" customFormat="1" ht="15.75" customHeight="1"/>
    <row r="526" s="51" customFormat="1" ht="15.75" customHeight="1"/>
    <row r="527" s="51" customFormat="1" ht="15.75" customHeight="1"/>
    <row r="528" s="51" customFormat="1" ht="15.75" customHeight="1"/>
    <row r="529" s="51" customFormat="1" ht="15.75" customHeight="1"/>
    <row r="530" s="51" customFormat="1" ht="15.75" customHeight="1"/>
    <row r="531" s="51" customFormat="1" ht="15.75" customHeight="1"/>
    <row r="532" s="51" customFormat="1" ht="15.75" customHeight="1"/>
    <row r="533" s="51" customFormat="1" ht="15.75" customHeight="1"/>
    <row r="534" s="51" customFormat="1" ht="15.75" customHeight="1"/>
    <row r="535" s="51" customFormat="1" ht="15.75" customHeight="1"/>
    <row r="536" s="51" customFormat="1" ht="15.75" customHeight="1"/>
    <row r="537" s="51" customFormat="1" ht="15.75" customHeight="1"/>
    <row r="538" s="51" customFormat="1" ht="15.75" customHeight="1"/>
    <row r="539" s="51" customFormat="1" ht="15.75" customHeight="1"/>
    <row r="540" s="51" customFormat="1" ht="15.75" customHeight="1"/>
    <row r="541" s="51" customFormat="1" ht="15.75" customHeight="1"/>
    <row r="542" s="51" customFormat="1" ht="15.75" customHeight="1"/>
    <row r="543" s="51" customFormat="1" ht="15.75" customHeight="1"/>
    <row r="544" s="51" customFormat="1" ht="15.75" customHeight="1"/>
    <row r="545" s="51" customFormat="1" ht="15.75" customHeight="1"/>
    <row r="546" s="51" customFormat="1" ht="15.75" customHeight="1"/>
    <row r="547" s="51" customFormat="1" ht="15.75" customHeight="1"/>
    <row r="548" s="51" customFormat="1" ht="15.75" customHeight="1"/>
    <row r="549" s="51" customFormat="1" ht="15.75" customHeight="1"/>
    <row r="550" s="51" customFormat="1" ht="15.75" customHeight="1"/>
    <row r="551" s="51" customFormat="1" ht="15.75" customHeight="1"/>
    <row r="552" s="51" customFormat="1" ht="15.75" customHeight="1"/>
    <row r="553" s="51" customFormat="1" ht="15.75" customHeight="1"/>
    <row r="554" s="51" customFormat="1" ht="15.75" customHeight="1"/>
    <row r="555" s="51" customFormat="1" ht="15.75" customHeight="1"/>
    <row r="556" s="51" customFormat="1" ht="15.75" customHeight="1"/>
    <row r="557" s="51" customFormat="1" ht="15.75" customHeight="1"/>
    <row r="558" s="51" customFormat="1" ht="15.75" customHeight="1"/>
    <row r="559" s="51" customFormat="1" ht="15.75" customHeight="1"/>
    <row r="560" s="51" customFormat="1" ht="15.75" customHeight="1"/>
    <row r="561" s="51" customFormat="1" ht="15.75" customHeight="1"/>
    <row r="562" s="51" customFormat="1" ht="15.75" customHeight="1"/>
    <row r="563" s="51" customFormat="1" ht="15.75" customHeight="1"/>
    <row r="564" s="51" customFormat="1" ht="15.75" customHeight="1"/>
    <row r="565" s="51" customFormat="1" ht="15.75" customHeight="1"/>
    <row r="566" s="51" customFormat="1" ht="15.75" customHeight="1"/>
    <row r="567" s="51" customFormat="1" ht="15.75" customHeight="1"/>
    <row r="568" s="51" customFormat="1" ht="15.75" customHeight="1"/>
    <row r="569" s="51" customFormat="1" ht="15.75" customHeight="1"/>
    <row r="570" s="51" customFormat="1" ht="15.75" customHeight="1"/>
    <row r="571" s="51" customFormat="1" ht="15.75" customHeight="1"/>
    <row r="572" s="51" customFormat="1" ht="15.75" customHeight="1"/>
    <row r="573" s="51" customFormat="1" ht="15.75" customHeight="1"/>
    <row r="574" s="51" customFormat="1" ht="15.75" customHeight="1"/>
    <row r="575" s="51" customFormat="1" ht="15.75" customHeight="1"/>
    <row r="576" s="51" customFormat="1" ht="15.75" customHeight="1"/>
    <row r="577" s="51" customFormat="1" ht="15.75" customHeight="1"/>
    <row r="578" s="51" customFormat="1" ht="15.75" customHeight="1"/>
    <row r="579" s="51" customFormat="1" ht="15.75" customHeight="1"/>
    <row r="580" s="51" customFormat="1" ht="15.75" customHeight="1"/>
    <row r="581" s="51" customFormat="1" ht="15.75" customHeight="1"/>
    <row r="582" s="51" customFormat="1" ht="15.75" customHeight="1"/>
    <row r="583" s="51" customFormat="1" ht="15.75" customHeight="1"/>
    <row r="584" s="51" customFormat="1" ht="15.75" customHeight="1"/>
    <row r="585" s="51" customFormat="1" ht="15.75" customHeight="1"/>
    <row r="586" s="51" customFormat="1" ht="15.75" customHeight="1"/>
    <row r="587" s="51" customFormat="1" ht="15.75" customHeight="1"/>
    <row r="588" s="51" customFormat="1" ht="15.75" customHeight="1"/>
    <row r="589" s="51" customFormat="1" ht="15.75" customHeight="1"/>
    <row r="590" s="51" customFormat="1" ht="15.75" customHeight="1"/>
    <row r="591" s="51" customFormat="1" ht="15.75" customHeight="1"/>
    <row r="592" s="51" customFormat="1" ht="15.75" customHeight="1"/>
    <row r="593" s="51" customFormat="1" ht="15.75" customHeight="1"/>
    <row r="594" s="51" customFormat="1" ht="15.75" customHeight="1"/>
    <row r="595" s="51" customFormat="1" ht="15.75" customHeight="1"/>
    <row r="596" s="51" customFormat="1" ht="15.75" customHeight="1"/>
    <row r="597" s="51" customFormat="1" ht="15.75" customHeight="1"/>
    <row r="598" s="51" customFormat="1" ht="15.75" customHeight="1"/>
    <row r="599" s="51" customFormat="1" ht="15.75" customHeight="1"/>
    <row r="600" s="51" customFormat="1" ht="15.75" customHeight="1"/>
    <row r="601" s="51" customFormat="1" ht="15.75" customHeight="1"/>
    <row r="602" s="51" customFormat="1" ht="15.75" customHeight="1"/>
    <row r="603" s="51" customFormat="1" ht="15.75" customHeight="1"/>
    <row r="604" s="51" customFormat="1" ht="15.75" customHeight="1"/>
    <row r="605" s="51" customFormat="1" ht="15.75" customHeight="1"/>
    <row r="606" s="51" customFormat="1" ht="15.75" customHeight="1"/>
    <row r="607" s="51" customFormat="1" ht="15.75" customHeight="1"/>
    <row r="608" s="51" customFormat="1" ht="15.75" customHeight="1"/>
    <row r="609" s="51" customFormat="1" ht="15.75" customHeight="1"/>
    <row r="610" s="51" customFormat="1" ht="15.75" customHeight="1"/>
    <row r="611" s="51" customFormat="1" ht="15.75" customHeight="1"/>
    <row r="612" s="51" customFormat="1" ht="15.75" customHeight="1"/>
    <row r="613" s="51" customFormat="1" ht="15.75" customHeight="1"/>
    <row r="614" s="51" customFormat="1" ht="15.75" customHeight="1"/>
    <row r="615" s="51" customFormat="1" ht="15.75" customHeight="1"/>
    <row r="616" s="51" customFormat="1" ht="15.75" customHeight="1"/>
    <row r="617" s="51" customFormat="1" ht="15.75" customHeight="1"/>
    <row r="618" s="51" customFormat="1" ht="15.75" customHeight="1"/>
    <row r="619" s="51" customFormat="1" ht="15.75" customHeight="1"/>
    <row r="620" s="51" customFormat="1" ht="15.75" customHeight="1"/>
    <row r="621" s="51" customFormat="1" ht="15.75" customHeight="1"/>
    <row r="622" s="51" customFormat="1" ht="15.75" customHeight="1"/>
    <row r="623" s="51" customFormat="1" ht="15.75" customHeight="1"/>
    <row r="624" s="51" customFormat="1" ht="15.75" customHeight="1"/>
    <row r="625" s="51" customFormat="1" ht="15.75" customHeight="1"/>
    <row r="626" s="51" customFormat="1" ht="15.75" customHeight="1"/>
    <row r="627" s="51" customFormat="1" ht="15.75" customHeight="1"/>
    <row r="628" s="51" customFormat="1" ht="15.75" customHeight="1"/>
    <row r="629" s="51" customFormat="1" ht="15.75" customHeight="1"/>
    <row r="630" s="51" customFormat="1" ht="15.75" customHeight="1"/>
    <row r="631" s="51" customFormat="1" ht="15.75" customHeight="1"/>
    <row r="632" s="51" customFormat="1" ht="15.75" customHeight="1"/>
    <row r="633" s="51" customFormat="1" ht="15.75" customHeight="1"/>
    <row r="634" s="51" customFormat="1" ht="15.75" customHeight="1"/>
    <row r="635" s="51" customFormat="1" ht="15.75" customHeight="1"/>
    <row r="636" s="51" customFormat="1" ht="15.75" customHeight="1"/>
    <row r="637" s="51" customFormat="1" ht="15.75" customHeight="1"/>
    <row r="638" s="51" customFormat="1" ht="15.75" customHeight="1"/>
    <row r="639" s="51" customFormat="1" ht="15.75" customHeight="1"/>
    <row r="640" s="51" customFormat="1" ht="15.75" customHeight="1"/>
    <row r="641" s="51" customFormat="1" ht="15.75" customHeight="1"/>
    <row r="642" s="51" customFormat="1" ht="15.75" customHeight="1"/>
    <row r="643" s="51" customFormat="1" ht="15.75" customHeight="1"/>
    <row r="644" s="51" customFormat="1" ht="15.75" customHeight="1"/>
    <row r="645" s="51" customFormat="1" ht="15.75" customHeight="1"/>
    <row r="646" s="51" customFormat="1" ht="15.75" customHeight="1"/>
    <row r="647" s="51" customFormat="1" ht="15.75" customHeight="1"/>
    <row r="648" s="51" customFormat="1" ht="15.75" customHeight="1"/>
    <row r="649" s="51" customFormat="1" ht="15.75" customHeight="1"/>
    <row r="650" s="51" customFormat="1" ht="15.75" customHeight="1"/>
    <row r="651" s="51" customFormat="1" ht="15.75" customHeight="1"/>
    <row r="652" s="51" customFormat="1" ht="15.75" customHeight="1"/>
    <row r="653" s="51" customFormat="1" ht="15.75" customHeight="1"/>
    <row r="654" s="51" customFormat="1" ht="15.75" customHeight="1"/>
    <row r="655" s="51" customFormat="1" ht="15.75" customHeight="1"/>
    <row r="656" s="51" customFormat="1" ht="15.75" customHeight="1"/>
    <row r="657" s="51" customFormat="1" ht="15.75" customHeight="1"/>
    <row r="658" s="51" customFormat="1" ht="15.75" customHeight="1"/>
    <row r="659" s="51" customFormat="1" ht="15.75" customHeight="1"/>
    <row r="660" s="51" customFormat="1" ht="15.75" customHeight="1"/>
    <row r="661" s="51" customFormat="1" ht="15.75" customHeight="1"/>
    <row r="662" s="51" customFormat="1" ht="15.75" customHeight="1"/>
    <row r="663" s="51" customFormat="1" ht="15.75" customHeight="1"/>
    <row r="664" s="51" customFormat="1" ht="15.75" customHeight="1"/>
    <row r="665" s="51" customFormat="1" ht="15.75" customHeight="1"/>
    <row r="666" s="51" customFormat="1" ht="15.75" customHeight="1"/>
    <row r="667" s="51" customFormat="1" ht="15.75" customHeight="1"/>
    <row r="668" s="51" customFormat="1" ht="15.75" customHeight="1"/>
    <row r="669" s="51" customFormat="1" ht="15.75" customHeight="1"/>
    <row r="670" s="51" customFormat="1" ht="15.75" customHeight="1"/>
    <row r="671" s="51" customFormat="1" ht="15.75" customHeight="1"/>
    <row r="672" s="51" customFormat="1" ht="15.75" customHeight="1"/>
    <row r="673" s="51" customFormat="1" ht="15.75" customHeight="1"/>
    <row r="674" s="51" customFormat="1" ht="15.75" customHeight="1"/>
    <row r="675" s="51" customFormat="1" ht="15.75" customHeight="1"/>
    <row r="676" s="51" customFormat="1" ht="15.75" customHeight="1"/>
    <row r="677" s="51" customFormat="1" ht="15.75" customHeight="1"/>
    <row r="678" s="51" customFormat="1" ht="15.75" customHeight="1"/>
    <row r="679" s="51" customFormat="1" ht="15.75" customHeight="1"/>
    <row r="680" s="51" customFormat="1" ht="15.75" customHeight="1"/>
    <row r="681" s="51" customFormat="1" ht="15.75" customHeight="1"/>
    <row r="682" s="51" customFormat="1" ht="15.75" customHeight="1"/>
    <row r="683" s="51" customFormat="1" ht="15.75" customHeight="1"/>
    <row r="684" s="51" customFormat="1" ht="15.75" customHeight="1"/>
    <row r="685" s="51" customFormat="1" ht="15.75" customHeight="1"/>
    <row r="686" s="51" customFormat="1" ht="15.75" customHeight="1"/>
    <row r="687" s="51" customFormat="1" ht="15.75" customHeight="1"/>
    <row r="688" s="51" customFormat="1" ht="15.75" customHeight="1"/>
    <row r="689" s="51" customFormat="1" ht="15.75" customHeight="1"/>
    <row r="690" s="51" customFormat="1" ht="15.75" customHeight="1"/>
    <row r="691" s="51" customFormat="1" ht="15.75" customHeight="1"/>
    <row r="692" s="51" customFormat="1" ht="15.75" customHeight="1"/>
    <row r="693" s="51" customFormat="1" ht="15.75" customHeight="1"/>
    <row r="694" s="51" customFormat="1" ht="15.75" customHeight="1"/>
    <row r="695" s="51" customFormat="1" ht="15.75" customHeight="1"/>
    <row r="696" s="51" customFormat="1" ht="15.75" customHeight="1"/>
    <row r="697" s="51" customFormat="1" ht="15.75" customHeight="1"/>
    <row r="698" s="51" customFormat="1" ht="15.75" customHeight="1"/>
    <row r="699" s="51" customFormat="1" ht="15.75" customHeight="1"/>
    <row r="700" s="51" customFormat="1" ht="15.75" customHeight="1"/>
    <row r="701" s="51" customFormat="1" ht="15.75" customHeight="1"/>
    <row r="702" s="51" customFormat="1" ht="15.75" customHeight="1"/>
    <row r="703" s="51" customFormat="1" ht="15.75" customHeight="1"/>
    <row r="704" s="51" customFormat="1" ht="15.75" customHeight="1"/>
    <row r="705" s="51" customFormat="1" ht="15.75" customHeight="1"/>
    <row r="706" s="51" customFormat="1" ht="15.75" customHeight="1"/>
    <row r="707" s="51" customFormat="1" ht="15.75" customHeight="1"/>
    <row r="708" s="51" customFormat="1" ht="15.75" customHeight="1"/>
    <row r="709" s="51" customFormat="1" ht="15.75" customHeight="1"/>
    <row r="710" s="51" customFormat="1" ht="15.75" customHeight="1"/>
    <row r="711" s="51" customFormat="1" ht="15.75" customHeight="1"/>
    <row r="712" s="51" customFormat="1" ht="15.75" customHeight="1"/>
    <row r="713" s="51" customFormat="1" ht="15.75" customHeight="1"/>
    <row r="714" s="51" customFormat="1" ht="15.75" customHeight="1"/>
    <row r="715" s="51" customFormat="1" ht="15.75" customHeight="1"/>
    <row r="716" s="51" customFormat="1" ht="15.75" customHeight="1"/>
    <row r="717" s="51" customFormat="1" ht="15.75" customHeight="1"/>
    <row r="718" s="51" customFormat="1" ht="15.75" customHeight="1"/>
    <row r="719" s="51" customFormat="1" ht="15.75" customHeight="1"/>
    <row r="720" s="51" customFormat="1" ht="15.75" customHeight="1"/>
    <row r="721" s="51" customFormat="1" ht="15.75" customHeight="1"/>
    <row r="722" s="51" customFormat="1" ht="15.75" customHeight="1"/>
    <row r="723" s="51" customFormat="1" ht="15.75" customHeight="1"/>
    <row r="724" s="51" customFormat="1" ht="15.75" customHeight="1"/>
    <row r="725" s="51" customFormat="1" ht="15.75" customHeight="1"/>
    <row r="726" s="51" customFormat="1" ht="15.75" customHeight="1"/>
    <row r="727" s="51" customFormat="1" ht="15.75" customHeight="1"/>
    <row r="728" s="51" customFormat="1" ht="15.75" customHeight="1"/>
    <row r="729" s="51" customFormat="1" ht="15.75" customHeight="1"/>
    <row r="730" s="51" customFormat="1" ht="15.75" customHeight="1"/>
    <row r="731" s="51" customFormat="1" ht="15.75" customHeight="1"/>
    <row r="732" s="51" customFormat="1" ht="15.75" customHeight="1"/>
    <row r="733" s="51" customFormat="1" ht="15.75" customHeight="1"/>
    <row r="734" s="51" customFormat="1" ht="15.75" customHeight="1"/>
    <row r="735" s="51" customFormat="1" ht="15.75" customHeight="1"/>
    <row r="736" s="51" customFormat="1" ht="15.75" customHeight="1"/>
    <row r="737" s="51" customFormat="1" ht="15.75" customHeight="1"/>
    <row r="738" s="51" customFormat="1" ht="15.75" customHeight="1"/>
    <row r="739" s="51" customFormat="1" ht="15.75" customHeight="1"/>
    <row r="740" s="51" customFormat="1" ht="15.75" customHeight="1"/>
    <row r="741" s="51" customFormat="1" ht="15.75" customHeight="1"/>
    <row r="742" s="51" customFormat="1" ht="15.75" customHeight="1"/>
    <row r="743" s="51" customFormat="1" ht="15.75" customHeight="1"/>
    <row r="744" s="51" customFormat="1" ht="15.75" customHeight="1"/>
    <row r="745" s="51" customFormat="1" ht="15.75" customHeight="1"/>
    <row r="746" s="51" customFormat="1" ht="15.75" customHeight="1"/>
    <row r="747" s="51" customFormat="1" ht="15.75" customHeight="1"/>
    <row r="748" s="51" customFormat="1" ht="15.75" customHeight="1"/>
    <row r="749" s="51" customFormat="1" ht="15.75" customHeight="1"/>
    <row r="750" s="51" customFormat="1" ht="15.75" customHeight="1"/>
    <row r="751" s="51" customFormat="1" ht="15.75" customHeight="1"/>
    <row r="752" s="51" customFormat="1" ht="15.75" customHeight="1"/>
    <row r="753" s="51" customFormat="1" ht="15.75" customHeight="1"/>
    <row r="754" s="51" customFormat="1" ht="15.75" customHeight="1"/>
    <row r="755" s="51" customFormat="1" ht="15.75" customHeight="1"/>
    <row r="756" s="51" customFormat="1" ht="15.75" customHeight="1"/>
    <row r="757" s="51" customFormat="1" ht="15.75" customHeight="1"/>
    <row r="758" s="51" customFormat="1" ht="15.75" customHeight="1"/>
    <row r="759" s="51" customFormat="1" ht="15.75" customHeight="1"/>
    <row r="760" s="51" customFormat="1" ht="15.75" customHeight="1"/>
    <row r="761" s="51" customFormat="1" ht="15.75" customHeight="1"/>
    <row r="762" s="51" customFormat="1" ht="15.75" customHeight="1"/>
    <row r="763" s="51" customFormat="1" ht="15.75" customHeight="1"/>
    <row r="764" s="51" customFormat="1" ht="15.75" customHeight="1"/>
    <row r="765" s="51" customFormat="1" ht="15.75" customHeight="1"/>
    <row r="766" s="51" customFormat="1" ht="15.75" customHeight="1"/>
    <row r="767" s="51" customFormat="1" ht="15.75" customHeight="1"/>
    <row r="768" s="51" customFormat="1" ht="15.75" customHeight="1"/>
    <row r="769" s="51" customFormat="1" ht="15.75" customHeight="1"/>
    <row r="770" s="51" customFormat="1" ht="15.75" customHeight="1"/>
    <row r="771" s="51" customFormat="1" ht="15.75" customHeight="1"/>
    <row r="772" s="51" customFormat="1" ht="15.75" customHeight="1"/>
    <row r="773" s="51" customFormat="1" ht="15.75" customHeight="1"/>
    <row r="774" s="51" customFormat="1" ht="15.75" customHeight="1"/>
    <row r="775" s="51" customFormat="1" ht="15.75" customHeight="1"/>
    <row r="776" s="51" customFormat="1" ht="15.75" customHeight="1"/>
    <row r="777" s="51" customFormat="1" ht="15.75" customHeight="1"/>
    <row r="778" s="51" customFormat="1" ht="15.75" customHeight="1"/>
    <row r="779" s="51" customFormat="1" ht="15.75" customHeight="1"/>
    <row r="780" s="51" customFormat="1" ht="15.75" customHeight="1"/>
    <row r="781" s="51" customFormat="1" ht="15.75" customHeight="1"/>
    <row r="782" s="51" customFormat="1" ht="15.75" customHeight="1"/>
    <row r="783" s="51" customFormat="1" ht="15.75" customHeight="1"/>
    <row r="784" s="51" customFormat="1" ht="15.75" customHeight="1"/>
    <row r="785" s="51" customFormat="1" ht="15.75" customHeight="1"/>
    <row r="786" s="51" customFormat="1" ht="15.75" customHeight="1"/>
    <row r="787" s="51" customFormat="1" ht="15.75" customHeight="1"/>
    <row r="788" s="51" customFormat="1" ht="15.75" customHeight="1"/>
    <row r="789" s="51" customFormat="1" ht="15.75" customHeight="1"/>
    <row r="790" s="51" customFormat="1" ht="15.75" customHeight="1"/>
    <row r="791" s="51" customFormat="1" ht="15.75" customHeight="1"/>
    <row r="792" s="51" customFormat="1" ht="15.75" customHeight="1"/>
    <row r="793" s="51" customFormat="1" ht="15.75" customHeight="1"/>
    <row r="794" s="51" customFormat="1" ht="15.75" customHeight="1"/>
    <row r="795" s="51" customFormat="1" ht="15.75" customHeight="1"/>
    <row r="796" s="51" customFormat="1" ht="15.75" customHeight="1"/>
    <row r="797" s="51" customFormat="1" ht="15.75" customHeight="1"/>
    <row r="798" s="51" customFormat="1" ht="15.75" customHeight="1"/>
    <row r="799" s="51" customFormat="1" ht="15.75" customHeight="1"/>
    <row r="800" s="51" customFormat="1" ht="15.75" customHeight="1"/>
    <row r="801" s="51" customFormat="1" ht="15.75" customHeight="1"/>
    <row r="802" s="51" customFormat="1" ht="15.75" customHeight="1"/>
    <row r="803" s="51" customFormat="1" ht="15.75" customHeight="1"/>
    <row r="804" s="51" customFormat="1" ht="15.75" customHeight="1"/>
    <row r="805" s="51" customFormat="1" ht="15.75" customHeight="1"/>
    <row r="806" s="51" customFormat="1" ht="15.75" customHeight="1"/>
    <row r="807" s="51" customFormat="1" ht="15.75" customHeight="1"/>
    <row r="808" s="51" customFormat="1" ht="15.75" customHeight="1"/>
    <row r="809" s="51" customFormat="1" ht="15.75" customHeight="1"/>
    <row r="810" s="51" customFormat="1" ht="15.75" customHeight="1"/>
    <row r="811" s="51" customFormat="1" ht="15.75" customHeight="1"/>
    <row r="812" s="51" customFormat="1" ht="15.75" customHeight="1"/>
    <row r="813" s="51" customFormat="1" ht="15.75" customHeight="1"/>
    <row r="814" s="51" customFormat="1" ht="15.75" customHeight="1"/>
    <row r="815" s="51" customFormat="1" ht="15.75" customHeight="1"/>
    <row r="816" s="51" customFormat="1" ht="15.75" customHeight="1"/>
    <row r="817" s="51" customFormat="1" ht="15.75" customHeight="1"/>
    <row r="818" s="51" customFormat="1" ht="15.75" customHeight="1"/>
    <row r="819" s="51" customFormat="1" ht="15.75" customHeight="1"/>
    <row r="820" s="51" customFormat="1" ht="15.75" customHeight="1"/>
    <row r="821" s="51" customFormat="1" ht="15.75" customHeight="1"/>
    <row r="822" s="51" customFormat="1" ht="15.75" customHeight="1"/>
    <row r="823" s="51" customFormat="1" ht="15.75" customHeight="1"/>
    <row r="824" s="51" customFormat="1" ht="15.75" customHeight="1"/>
    <row r="825" s="51" customFormat="1" ht="15.75" customHeight="1"/>
    <row r="826" s="51" customFormat="1" ht="15.75" customHeight="1"/>
    <row r="827" s="51" customFormat="1" ht="15.75" customHeight="1"/>
    <row r="828" s="51" customFormat="1" ht="15.75" customHeight="1"/>
    <row r="829" s="51" customFormat="1" ht="15.75" customHeight="1"/>
    <row r="830" s="51" customFormat="1" ht="15.75" customHeight="1"/>
    <row r="831" s="51" customFormat="1" ht="15.75" customHeight="1"/>
    <row r="832" s="51" customFormat="1" ht="15.75" customHeight="1"/>
    <row r="833" s="51" customFormat="1" ht="15.75" customHeight="1"/>
    <row r="834" s="51" customFormat="1" ht="15.75" customHeight="1"/>
    <row r="835" s="51" customFormat="1" ht="15.75" customHeight="1"/>
    <row r="836" s="51" customFormat="1" ht="15.75" customHeight="1"/>
    <row r="837" s="51" customFormat="1" ht="15.75" customHeight="1"/>
    <row r="838" s="51" customFormat="1" ht="15.75" customHeight="1"/>
    <row r="839" s="51" customFormat="1" ht="15.75" customHeight="1"/>
    <row r="840" s="51" customFormat="1" ht="15.75" customHeight="1"/>
    <row r="841" s="51" customFormat="1" ht="15.75" customHeight="1"/>
    <row r="842" s="51" customFormat="1" ht="15.75" customHeight="1"/>
    <row r="843" s="51" customFormat="1" ht="15.75" customHeight="1"/>
    <row r="844" s="51" customFormat="1" ht="15.75" customHeight="1"/>
    <row r="845" s="51" customFormat="1" ht="15.75" customHeight="1"/>
    <row r="846" s="51" customFormat="1" ht="15.75" customHeight="1"/>
    <row r="847" s="51" customFormat="1" ht="15.75" customHeight="1"/>
    <row r="848" s="51" customFormat="1" ht="15.75" customHeight="1"/>
    <row r="849" s="51" customFormat="1" ht="15.75" customHeight="1"/>
    <row r="850" s="51" customFormat="1" ht="15.75" customHeight="1"/>
    <row r="851" s="51" customFormat="1" ht="15.75" customHeight="1"/>
    <row r="852" s="51" customFormat="1" ht="15.75" customHeight="1"/>
    <row r="853" s="51" customFormat="1" ht="15.75" customHeight="1"/>
    <row r="854" s="51" customFormat="1" ht="15.75" customHeight="1"/>
    <row r="855" s="51" customFormat="1" ht="15.75" customHeight="1"/>
    <row r="856" s="51" customFormat="1" ht="15.75" customHeight="1"/>
    <row r="857" s="51" customFormat="1" ht="15.75" customHeight="1"/>
    <row r="858" s="51" customFormat="1" ht="15.75" customHeight="1"/>
    <row r="859" s="51" customFormat="1" ht="15.75" customHeight="1"/>
    <row r="860" s="51" customFormat="1" ht="15.75" customHeight="1"/>
    <row r="861" s="51" customFormat="1" ht="15.75" customHeight="1"/>
    <row r="862" s="51" customFormat="1" ht="15.75" customHeight="1"/>
    <row r="863" s="51" customFormat="1" ht="15.75" customHeight="1"/>
    <row r="864" s="51" customFormat="1" ht="15.75" customHeight="1"/>
    <row r="865" s="51" customFormat="1" ht="15.75" customHeight="1"/>
    <row r="866" s="51" customFormat="1" ht="15.75" customHeight="1"/>
    <row r="867" s="51" customFormat="1" ht="15.75" customHeight="1"/>
    <row r="868" s="51" customFormat="1" ht="15.75" customHeight="1"/>
    <row r="869" s="51" customFormat="1" ht="15.75" customHeight="1"/>
    <row r="870" s="51" customFormat="1" ht="15.75" customHeight="1"/>
    <row r="871" s="51" customFormat="1" ht="15.75" customHeight="1"/>
    <row r="872" s="51" customFormat="1" ht="15.75" customHeight="1"/>
    <row r="873" s="51" customFormat="1" ht="15.75" customHeight="1"/>
    <row r="874" s="51" customFormat="1" ht="15.75" customHeight="1"/>
    <row r="875" s="51" customFormat="1" ht="15.75" customHeight="1"/>
    <row r="876" s="51" customFormat="1" ht="15.75" customHeight="1"/>
    <row r="877" s="51" customFormat="1" ht="15.75" customHeight="1"/>
    <row r="878" s="51" customFormat="1" ht="15.75" customHeight="1"/>
    <row r="879" s="51" customFormat="1" ht="15.75" customHeight="1"/>
    <row r="880" s="51" customFormat="1" ht="15.75" customHeight="1"/>
    <row r="881" s="51" customFormat="1" ht="15.75" customHeight="1"/>
    <row r="882" s="51" customFormat="1" ht="15.75" customHeight="1"/>
    <row r="883" s="51" customFormat="1" ht="15.75" customHeight="1"/>
    <row r="884" s="51" customFormat="1" ht="15.75" customHeight="1"/>
    <row r="885" s="51" customFormat="1" ht="15.75" customHeight="1"/>
    <row r="886" s="51" customFormat="1" ht="15.75" customHeight="1"/>
    <row r="887" s="51" customFormat="1" ht="15.75" customHeight="1"/>
    <row r="888" s="51" customFormat="1" ht="15.75" customHeight="1"/>
    <row r="889" s="51" customFormat="1" ht="15.75" customHeight="1"/>
    <row r="890" s="51" customFormat="1" ht="15.75" customHeight="1"/>
    <row r="891" s="51" customFormat="1" ht="15.75" customHeight="1"/>
    <row r="892" s="51" customFormat="1" ht="15.75" customHeight="1"/>
    <row r="893" s="51" customFormat="1" ht="15.75" customHeight="1"/>
    <row r="894" s="51" customFormat="1" ht="15.75" customHeight="1"/>
    <row r="895" s="51" customFormat="1" ht="15.75" customHeight="1"/>
    <row r="896" s="51" customFormat="1" ht="15.75" customHeight="1"/>
    <row r="897" s="51" customFormat="1" ht="15.75" customHeight="1"/>
    <row r="898" s="51" customFormat="1" ht="15.75" customHeight="1"/>
    <row r="899" s="51" customFormat="1" ht="15.75" customHeight="1"/>
    <row r="900" s="51" customFormat="1" ht="15.75" customHeight="1"/>
    <row r="901" s="51" customFormat="1" ht="15.75" customHeight="1"/>
    <row r="902" s="51" customFormat="1" ht="15.75" customHeight="1"/>
    <row r="903" s="51" customFormat="1" ht="15.75" customHeight="1"/>
    <row r="904" s="51" customFormat="1" ht="15.75" customHeight="1"/>
    <row r="905" s="51" customFormat="1" ht="15.75" customHeight="1"/>
    <row r="906" s="51" customFormat="1" ht="15.75" customHeight="1"/>
    <row r="907" s="51" customFormat="1" ht="15.75" customHeight="1"/>
    <row r="908" s="51" customFormat="1" ht="15.75" customHeight="1"/>
    <row r="909" s="51" customFormat="1" ht="15.75" customHeight="1"/>
    <row r="910" s="51" customFormat="1" ht="15.75" customHeight="1"/>
    <row r="911" s="51" customFormat="1" ht="15.75" customHeight="1"/>
    <row r="912" s="51" customFormat="1" ht="15.75" customHeight="1"/>
    <row r="913" s="51" customFormat="1" ht="15.75" customHeight="1"/>
    <row r="914" s="51" customFormat="1" ht="15.75" customHeight="1"/>
    <row r="915" s="51" customFormat="1" ht="15.75" customHeight="1"/>
    <row r="916" s="51" customFormat="1" ht="15.75" customHeight="1"/>
    <row r="917" s="51" customFormat="1" ht="15.75" customHeight="1"/>
    <row r="918" s="51" customFormat="1" ht="15.75" customHeight="1"/>
    <row r="919" s="51" customFormat="1" ht="15.75" customHeight="1"/>
    <row r="920" s="51" customFormat="1" ht="15.75" customHeight="1"/>
    <row r="921" s="51" customFormat="1" ht="15.75" customHeight="1"/>
    <row r="922" s="51" customFormat="1" ht="15.75" customHeight="1"/>
    <row r="923" s="51" customFormat="1" ht="15.75" customHeight="1"/>
    <row r="924" s="51" customFormat="1" ht="15.75" customHeight="1"/>
    <row r="925" s="51" customFormat="1" ht="15.75" customHeight="1"/>
    <row r="926" s="51" customFormat="1" ht="15.75" customHeight="1"/>
    <row r="927" s="51" customFormat="1" ht="15.75" customHeight="1"/>
    <row r="928" s="51" customFormat="1" ht="15.75" customHeight="1"/>
    <row r="929" s="51" customFormat="1" ht="15.75" customHeight="1"/>
    <row r="930" s="51" customFormat="1" ht="15.75" customHeight="1"/>
    <row r="931" s="51" customFormat="1" ht="15.75" customHeight="1"/>
    <row r="932" s="51" customFormat="1" ht="15.75" customHeight="1"/>
    <row r="933" s="51" customFormat="1" ht="15.75" customHeight="1"/>
    <row r="934" s="51" customFormat="1" ht="15.75" customHeight="1"/>
    <row r="935" s="51" customFormat="1" ht="15.75" customHeight="1"/>
    <row r="936" s="51" customFormat="1" ht="15.75" customHeight="1"/>
    <row r="937" s="51" customFormat="1" ht="15.75" customHeight="1"/>
    <row r="938" s="51" customFormat="1" ht="15.75" customHeight="1"/>
    <row r="939" s="51" customFormat="1" ht="15.75" customHeight="1"/>
    <row r="940" s="51" customFormat="1" ht="15.75" customHeight="1"/>
    <row r="941" s="51" customFormat="1" ht="15.75" customHeight="1"/>
    <row r="942" s="51" customFormat="1" ht="15.75" customHeight="1"/>
    <row r="943" s="51" customFormat="1" ht="15.75" customHeight="1"/>
    <row r="944" s="51" customFormat="1" ht="15.75" customHeight="1"/>
    <row r="945" s="51" customFormat="1" ht="15.75" customHeight="1"/>
    <row r="946" s="51" customFormat="1" ht="15.75" customHeight="1"/>
    <row r="947" s="51" customFormat="1" ht="15.75" customHeight="1"/>
    <row r="948" s="51" customFormat="1" ht="15.75" customHeight="1"/>
    <row r="949" s="51" customFormat="1" ht="15.75" customHeight="1"/>
    <row r="950" s="51" customFormat="1" ht="15.75" customHeight="1"/>
    <row r="951" s="51" customFormat="1" ht="15.75" customHeight="1"/>
    <row r="952" s="51" customFormat="1" ht="15.75" customHeight="1"/>
    <row r="953" s="51" customFormat="1" ht="15.75" customHeight="1"/>
    <row r="954" s="51" customFormat="1" ht="15.75" customHeight="1"/>
    <row r="955" s="51" customFormat="1" ht="15.75" customHeight="1"/>
    <row r="956" s="51" customFormat="1" ht="15.75" customHeight="1"/>
    <row r="957" s="51" customFormat="1" ht="15.75" customHeight="1"/>
    <row r="958" s="51" customFormat="1" ht="15.75" customHeight="1"/>
    <row r="959" s="51" customFormat="1" ht="15.75" customHeight="1"/>
    <row r="960" s="51" customFormat="1" ht="15.75" customHeight="1"/>
    <row r="961" s="51" customFormat="1" ht="15.75" customHeight="1"/>
    <row r="962" s="51" customFormat="1" ht="15.75" customHeight="1"/>
    <row r="963" s="51" customFormat="1" ht="15.75" customHeight="1"/>
    <row r="964" s="51" customFormat="1" ht="15.75" customHeight="1"/>
    <row r="965" s="51" customFormat="1" ht="15.75" customHeight="1"/>
    <row r="966" s="51" customFormat="1" ht="15.75" customHeight="1"/>
    <row r="967" s="51" customFormat="1" ht="15.75" customHeight="1"/>
    <row r="968" s="51" customFormat="1" ht="15.75" customHeight="1"/>
    <row r="969" s="51" customFormat="1" ht="15.75" customHeight="1"/>
  </sheetData>
  <mergeCells count="3">
    <mergeCell ref="D1:E1"/>
    <mergeCell ref="A7:H7"/>
    <mergeCell ref="A31:H3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6709-8E2C-9F48-B73F-9ADADC9F682A}">
  <dimension ref="B6:P137"/>
  <sheetViews>
    <sheetView zoomScale="90" workbookViewId="0"/>
  </sheetViews>
  <sheetFormatPr defaultColWidth="11.5703125" defaultRowHeight="15"/>
  <cols>
    <col min="4" max="4" width="11.140625" bestFit="1" customWidth="1"/>
    <col min="5" max="5" width="12.140625" bestFit="1" customWidth="1"/>
    <col min="6" max="6" width="13.140625" bestFit="1" customWidth="1"/>
    <col min="7" max="8" width="9" bestFit="1" customWidth="1"/>
  </cols>
  <sheetData>
    <row r="6" spans="2:13">
      <c r="B6" t="s">
        <v>123</v>
      </c>
    </row>
    <row r="7" spans="2:13">
      <c r="B7" s="1"/>
      <c r="C7" s="2"/>
      <c r="D7" s="2"/>
      <c r="E7" s="2"/>
      <c r="F7" s="2"/>
      <c r="G7" s="2"/>
      <c r="H7" s="2"/>
      <c r="I7" s="2"/>
      <c r="J7" s="2"/>
      <c r="K7" s="2"/>
      <c r="L7" s="2"/>
      <c r="M7" s="3"/>
    </row>
    <row r="8" spans="2:13">
      <c r="B8" s="4"/>
      <c r="C8" s="200" t="s">
        <v>0</v>
      </c>
      <c r="D8" s="201"/>
      <c r="E8" s="201"/>
      <c r="F8" s="202"/>
      <c r="M8" s="5"/>
    </row>
    <row r="9" spans="2:13">
      <c r="B9" s="4"/>
      <c r="D9" s="6" t="s">
        <v>1</v>
      </c>
      <c r="E9" s="6" t="s">
        <v>2</v>
      </c>
      <c r="F9" s="6" t="s">
        <v>3</v>
      </c>
      <c r="M9" s="5"/>
    </row>
    <row r="10" spans="2:13">
      <c r="B10" s="4"/>
      <c r="C10" s="7" t="s">
        <v>4</v>
      </c>
      <c r="D10" s="8">
        <v>15000</v>
      </c>
      <c r="E10" s="8">
        <v>19000</v>
      </c>
      <c r="F10" s="8">
        <v>175000</v>
      </c>
      <c r="G10" s="9" t="s">
        <v>5</v>
      </c>
      <c r="M10" s="5"/>
    </row>
    <row r="11" spans="2:13">
      <c r="B11" s="4"/>
      <c r="C11" s="7" t="s">
        <v>6</v>
      </c>
      <c r="D11" s="10">
        <v>8621483</v>
      </c>
      <c r="E11" s="10">
        <v>11402651</v>
      </c>
      <c r="F11" s="11">
        <v>101487941</v>
      </c>
      <c r="G11" s="9" t="s">
        <v>7</v>
      </c>
      <c r="M11" s="5"/>
    </row>
    <row r="12" spans="2:13">
      <c r="B12" s="4"/>
      <c r="C12" s="12" t="s">
        <v>8</v>
      </c>
      <c r="D12" s="13">
        <f>D11/D10</f>
        <v>574.76553333333334</v>
      </c>
      <c r="E12" s="13">
        <f>E11/E10</f>
        <v>600.13952631578945</v>
      </c>
      <c r="F12" s="14">
        <f>F11/F10</f>
        <v>579.93109142857145</v>
      </c>
      <c r="G12" s="9" t="s">
        <v>9</v>
      </c>
      <c r="M12" s="5"/>
    </row>
    <row r="13" spans="2:13">
      <c r="B13" s="4"/>
      <c r="M13" s="5"/>
    </row>
    <row r="14" spans="2:13">
      <c r="B14" s="4"/>
      <c r="M14" s="5"/>
    </row>
    <row r="15" spans="2:13">
      <c r="B15" s="4"/>
      <c r="C15" s="203" t="s">
        <v>10</v>
      </c>
      <c r="D15" s="204"/>
      <c r="E15" s="204"/>
      <c r="F15" s="204"/>
      <c r="G15" s="205"/>
      <c r="H15" s="15"/>
      <c r="M15" s="5"/>
    </row>
    <row r="16" spans="2:13">
      <c r="B16" s="4"/>
      <c r="C16" s="16"/>
      <c r="D16" s="16"/>
      <c r="E16" s="198" t="s">
        <v>11</v>
      </c>
      <c r="F16" s="198"/>
      <c r="G16" s="198"/>
      <c r="H16" s="15"/>
      <c r="M16" s="5"/>
    </row>
    <row r="17" spans="2:13">
      <c r="B17" s="4"/>
      <c r="C17" s="17"/>
      <c r="D17" s="18" t="s">
        <v>12</v>
      </c>
      <c r="E17" s="19" t="s">
        <v>1</v>
      </c>
      <c r="F17" s="19" t="s">
        <v>2</v>
      </c>
      <c r="G17" s="19" t="s">
        <v>13</v>
      </c>
      <c r="H17" s="20"/>
      <c r="M17" s="5"/>
    </row>
    <row r="18" spans="2:13">
      <c r="B18" s="4"/>
      <c r="C18" s="17" t="s">
        <v>14</v>
      </c>
      <c r="D18" s="21">
        <v>1.002</v>
      </c>
      <c r="E18" s="22">
        <v>0.55000000000000004</v>
      </c>
      <c r="F18" s="22">
        <v>0.5</v>
      </c>
      <c r="G18" s="22">
        <v>0.6</v>
      </c>
      <c r="H18" s="23"/>
      <c r="M18" s="5"/>
    </row>
    <row r="19" spans="2:13">
      <c r="B19" s="4"/>
      <c r="C19" s="17" t="s">
        <v>15</v>
      </c>
      <c r="D19" s="21">
        <v>0.89100000000000001</v>
      </c>
      <c r="E19" s="22">
        <v>0.1</v>
      </c>
      <c r="F19" s="22">
        <v>0.15</v>
      </c>
      <c r="G19" s="22">
        <v>0.1</v>
      </c>
      <c r="H19" s="23"/>
      <c r="M19" s="5"/>
    </row>
    <row r="20" spans="2:13">
      <c r="B20" s="4"/>
      <c r="C20" s="17" t="s">
        <v>16</v>
      </c>
      <c r="D20" s="21">
        <v>1.1779999999999999</v>
      </c>
      <c r="E20" s="22">
        <v>0.2</v>
      </c>
      <c r="F20" s="22">
        <v>0.2</v>
      </c>
      <c r="G20" s="22">
        <v>0.1</v>
      </c>
      <c r="H20" s="23"/>
      <c r="M20" s="5"/>
    </row>
    <row r="21" spans="2:13">
      <c r="B21" s="4"/>
      <c r="C21" s="17" t="s">
        <v>17</v>
      </c>
      <c r="D21" s="21">
        <v>0.96499999999999997</v>
      </c>
      <c r="E21" s="22">
        <v>0.15</v>
      </c>
      <c r="F21" s="22">
        <v>0.15</v>
      </c>
      <c r="G21" s="22">
        <v>0.2</v>
      </c>
      <c r="H21" s="23"/>
      <c r="M21" s="5"/>
    </row>
    <row r="22" spans="2:13">
      <c r="B22" s="4"/>
      <c r="C22" s="198" t="s">
        <v>18</v>
      </c>
      <c r="D22" s="198"/>
      <c r="E22" s="24">
        <f>SUMPRODUCT($D$18:$D$21,E18:E21)</f>
        <v>1.0205500000000001</v>
      </c>
      <c r="F22" s="24">
        <f t="shared" ref="F22:G22" si="0">SUMPRODUCT($D$18:$D$21,F18:F21)</f>
        <v>1.0149999999999999</v>
      </c>
      <c r="G22" s="24">
        <f t="shared" si="0"/>
        <v>1.0010999999999999</v>
      </c>
      <c r="H22" s="25" t="s">
        <v>19</v>
      </c>
      <c r="M22" s="5"/>
    </row>
    <row r="23" spans="2:13">
      <c r="B23" s="4"/>
      <c r="C23" s="198" t="s">
        <v>20</v>
      </c>
      <c r="D23" s="198"/>
      <c r="E23" s="24">
        <f>$G$22/E22</f>
        <v>0.98094164911077342</v>
      </c>
      <c r="F23" s="24">
        <f>$G$22/F22</f>
        <v>0.98630541871921185</v>
      </c>
      <c r="G23" s="24"/>
      <c r="H23" s="25" t="s">
        <v>21</v>
      </c>
      <c r="M23" s="5"/>
    </row>
    <row r="24" spans="2:13">
      <c r="B24" s="4"/>
      <c r="E24" s="26" t="s">
        <v>22</v>
      </c>
      <c r="F24" s="27">
        <v>0.95799999999999996</v>
      </c>
      <c r="M24" s="5"/>
    </row>
    <row r="25" spans="2:13">
      <c r="B25" s="4"/>
      <c r="E25" s="26" t="s">
        <v>23</v>
      </c>
      <c r="F25" s="28">
        <f>G22/F24</f>
        <v>1.0449895615866387</v>
      </c>
      <c r="M25" s="5"/>
    </row>
    <row r="26" spans="2:13">
      <c r="B26" s="4"/>
      <c r="M26" s="5"/>
    </row>
    <row r="27" spans="2:13">
      <c r="B27" s="4"/>
      <c r="C27" s="199" t="s">
        <v>24</v>
      </c>
      <c r="D27" s="199"/>
      <c r="E27" s="199"/>
      <c r="F27" s="199"/>
      <c r="G27" s="199"/>
      <c r="H27" s="199"/>
      <c r="I27" s="199"/>
      <c r="M27" s="5"/>
    </row>
    <row r="28" spans="2:13">
      <c r="B28" s="4"/>
      <c r="C28" s="197" t="s">
        <v>25</v>
      </c>
      <c r="D28" s="197" t="s">
        <v>26</v>
      </c>
      <c r="E28" s="197" t="s">
        <v>27</v>
      </c>
      <c r="F28" s="197" t="s">
        <v>11</v>
      </c>
      <c r="G28" s="197"/>
      <c r="H28" s="197"/>
      <c r="I28" s="197"/>
      <c r="M28" s="5"/>
    </row>
    <row r="29" spans="2:13">
      <c r="B29" s="4"/>
      <c r="C29" s="198"/>
      <c r="D29" s="198"/>
      <c r="E29" s="198"/>
      <c r="F29" s="16" t="s">
        <v>1</v>
      </c>
      <c r="G29" s="16" t="s">
        <v>2</v>
      </c>
      <c r="H29" s="16" t="s">
        <v>3</v>
      </c>
      <c r="I29" s="16" t="s">
        <v>13</v>
      </c>
      <c r="M29" s="5"/>
    </row>
    <row r="30" spans="2:13">
      <c r="B30" s="4"/>
      <c r="C30" s="21" t="s">
        <v>28</v>
      </c>
      <c r="D30" s="29" t="s">
        <v>29</v>
      </c>
      <c r="E30" s="24">
        <v>0.86</v>
      </c>
      <c r="F30" s="22">
        <v>0.1</v>
      </c>
      <c r="G30" s="22">
        <v>0.09</v>
      </c>
      <c r="H30" s="22">
        <v>0.06</v>
      </c>
      <c r="I30" s="22">
        <v>7.0000000000000007E-2</v>
      </c>
      <c r="M30" s="5"/>
    </row>
    <row r="31" spans="2:13">
      <c r="B31" s="4"/>
      <c r="C31" s="21" t="s">
        <v>28</v>
      </c>
      <c r="D31" s="29" t="s">
        <v>30</v>
      </c>
      <c r="E31" s="24">
        <v>0.37</v>
      </c>
      <c r="F31" s="22">
        <v>0.1</v>
      </c>
      <c r="G31" s="22">
        <v>0.11</v>
      </c>
      <c r="H31" s="22">
        <v>0.12</v>
      </c>
      <c r="I31" s="22">
        <v>0.11</v>
      </c>
      <c r="M31" s="5"/>
    </row>
    <row r="32" spans="2:13">
      <c r="B32" s="4"/>
      <c r="C32" s="21" t="s">
        <v>31</v>
      </c>
      <c r="D32" s="29" t="s">
        <v>32</v>
      </c>
      <c r="E32" s="24">
        <v>0.48</v>
      </c>
      <c r="F32" s="22">
        <v>0.1</v>
      </c>
      <c r="G32" s="22">
        <v>0.1</v>
      </c>
      <c r="H32" s="22">
        <v>0.16</v>
      </c>
      <c r="I32" s="22">
        <v>7.0000000000000007E-2</v>
      </c>
      <c r="M32" s="5"/>
    </row>
    <row r="33" spans="2:13">
      <c r="B33" s="4"/>
      <c r="C33" s="21" t="s">
        <v>31</v>
      </c>
      <c r="D33" s="29" t="s">
        <v>33</v>
      </c>
      <c r="E33" s="24">
        <v>0.52</v>
      </c>
      <c r="F33" s="22">
        <v>0.1</v>
      </c>
      <c r="G33" s="22">
        <v>0.08</v>
      </c>
      <c r="H33" s="22">
        <v>0.1</v>
      </c>
      <c r="I33" s="22">
        <v>0.08</v>
      </c>
      <c r="M33" s="5"/>
    </row>
    <row r="34" spans="2:13">
      <c r="B34" s="4"/>
      <c r="C34" s="21" t="s">
        <v>31</v>
      </c>
      <c r="D34" s="29" t="s">
        <v>34</v>
      </c>
      <c r="E34" s="24">
        <v>0.84</v>
      </c>
      <c r="F34" s="22">
        <v>0.1</v>
      </c>
      <c r="G34" s="22">
        <v>0.1</v>
      </c>
      <c r="H34" s="22">
        <v>0.11</v>
      </c>
      <c r="I34" s="22">
        <v>0.1</v>
      </c>
      <c r="M34" s="5"/>
    </row>
    <row r="35" spans="2:13">
      <c r="B35" s="4"/>
      <c r="C35" s="21" t="s">
        <v>31</v>
      </c>
      <c r="D35" s="29" t="s">
        <v>35</v>
      </c>
      <c r="E35" s="24">
        <v>2.1</v>
      </c>
      <c r="F35" s="22">
        <v>0.1</v>
      </c>
      <c r="G35" s="22">
        <v>0.09</v>
      </c>
      <c r="H35" s="22">
        <v>0.1</v>
      </c>
      <c r="I35" s="22">
        <v>0.14000000000000001</v>
      </c>
      <c r="M35" s="5"/>
    </row>
    <row r="36" spans="2:13">
      <c r="B36" s="4"/>
      <c r="C36" s="21" t="s">
        <v>36</v>
      </c>
      <c r="D36" s="29" t="s">
        <v>32</v>
      </c>
      <c r="E36" s="24">
        <v>0.7</v>
      </c>
      <c r="F36" s="22">
        <v>0.1</v>
      </c>
      <c r="G36" s="22">
        <v>0.12</v>
      </c>
      <c r="H36" s="22">
        <v>0.06</v>
      </c>
      <c r="I36" s="22">
        <v>0.11</v>
      </c>
      <c r="M36" s="5"/>
    </row>
    <row r="37" spans="2:13">
      <c r="B37" s="4"/>
      <c r="C37" s="21" t="s">
        <v>36</v>
      </c>
      <c r="D37" s="29" t="s">
        <v>33</v>
      </c>
      <c r="E37" s="24">
        <v>1.2</v>
      </c>
      <c r="F37" s="22">
        <v>0.1</v>
      </c>
      <c r="G37" s="22">
        <v>0.09</v>
      </c>
      <c r="H37" s="22">
        <v>0.04</v>
      </c>
      <c r="I37" s="22">
        <v>0.1</v>
      </c>
      <c r="M37" s="5"/>
    </row>
    <row r="38" spans="2:13">
      <c r="B38" s="4"/>
      <c r="C38" s="21" t="s">
        <v>36</v>
      </c>
      <c r="D38" s="29" t="s">
        <v>34</v>
      </c>
      <c r="E38" s="24">
        <v>0.85</v>
      </c>
      <c r="F38" s="22">
        <v>0.1</v>
      </c>
      <c r="G38" s="22">
        <v>0.1</v>
      </c>
      <c r="H38" s="22">
        <v>0.15</v>
      </c>
      <c r="I38" s="22">
        <v>0.1</v>
      </c>
      <c r="M38" s="5"/>
    </row>
    <row r="39" spans="2:13">
      <c r="B39" s="4"/>
      <c r="C39" s="21" t="s">
        <v>36</v>
      </c>
      <c r="D39" s="29" t="s">
        <v>35</v>
      </c>
      <c r="E39" s="24">
        <v>1.4</v>
      </c>
      <c r="F39" s="22">
        <v>0.1</v>
      </c>
      <c r="G39" s="22">
        <v>0.12</v>
      </c>
      <c r="H39" s="22">
        <v>0.1</v>
      </c>
      <c r="I39" s="22">
        <v>0.12</v>
      </c>
      <c r="M39" s="5"/>
    </row>
    <row r="40" spans="2:13">
      <c r="B40" s="4"/>
      <c r="C40" s="198" t="s">
        <v>37</v>
      </c>
      <c r="D40" s="198"/>
      <c r="E40" s="198"/>
      <c r="F40" s="24">
        <f>SUMPRODUCT($E$30:$E$39,F30:F39)</f>
        <v>0.93199999999999994</v>
      </c>
      <c r="G40" s="24">
        <f t="shared" ref="G40:I40" si="1">SUMPRODUCT($E$30:$E$39,G30:G39)</f>
        <v>0.92569999999999997</v>
      </c>
      <c r="H40" s="24">
        <f t="shared" si="1"/>
        <v>0.88470000000000015</v>
      </c>
      <c r="I40" s="24">
        <f t="shared" si="1"/>
        <v>1.0041</v>
      </c>
      <c r="J40" s="25" t="s">
        <v>38</v>
      </c>
      <c r="M40" s="5"/>
    </row>
    <row r="41" spans="2:13">
      <c r="B41" s="4"/>
      <c r="C41" s="198" t="s">
        <v>20</v>
      </c>
      <c r="D41" s="198"/>
      <c r="E41" s="198"/>
      <c r="F41" s="24">
        <f>$I$40/F40</f>
        <v>1.0773605150214594</v>
      </c>
      <c r="G41" s="24">
        <f t="shared" ref="G41:H41" si="2">$I$40/G40</f>
        <v>1.0846926650102626</v>
      </c>
      <c r="H41" s="24">
        <f t="shared" si="2"/>
        <v>1.1349610037300777</v>
      </c>
      <c r="I41" s="17"/>
      <c r="J41" s="25" t="s">
        <v>21</v>
      </c>
      <c r="M41" s="5"/>
    </row>
    <row r="42" spans="2:13">
      <c r="B42" s="4"/>
      <c r="M42" s="5"/>
    </row>
    <row r="43" spans="2:13">
      <c r="B43" s="4"/>
      <c r="M43" s="5"/>
    </row>
    <row r="44" spans="2:13">
      <c r="B44" s="4"/>
      <c r="M44" s="5"/>
    </row>
    <row r="45" spans="2:13">
      <c r="B45" s="4"/>
      <c r="C45" t="s">
        <v>39</v>
      </c>
      <c r="D45" s="30">
        <v>6.5000000000000002E-2</v>
      </c>
      <c r="E45" s="31" t="s">
        <v>40</v>
      </c>
      <c r="M45" s="5"/>
    </row>
    <row r="46" spans="2:13">
      <c r="B46" s="4"/>
      <c r="D46" s="20" t="s">
        <v>1</v>
      </c>
      <c r="E46" s="20" t="s">
        <v>2</v>
      </c>
      <c r="F46" s="20" t="s">
        <v>3</v>
      </c>
      <c r="M46" s="5"/>
    </row>
    <row r="47" spans="2:13">
      <c r="B47" s="4"/>
      <c r="C47" t="s">
        <v>41</v>
      </c>
      <c r="D47" s="32">
        <v>36</v>
      </c>
      <c r="E47" s="32">
        <v>24</v>
      </c>
      <c r="F47" s="32">
        <v>24</v>
      </c>
      <c r="G47" s="25" t="s">
        <v>5</v>
      </c>
      <c r="M47" s="5"/>
    </row>
    <row r="48" spans="2:13">
      <c r="B48" s="4"/>
      <c r="C48" t="s">
        <v>42</v>
      </c>
      <c r="D48" s="33">
        <f>(1+$D$45)^(D47/12)</f>
        <v>1.2079496249999997</v>
      </c>
      <c r="E48" s="33">
        <f t="shared" ref="E48:F48" si="3">(1+$D$45)^(E47/12)</f>
        <v>1.1342249999999998</v>
      </c>
      <c r="F48" s="33">
        <f t="shared" si="3"/>
        <v>1.1342249999999998</v>
      </c>
      <c r="G48" s="34" t="s">
        <v>43</v>
      </c>
      <c r="M48" s="5"/>
    </row>
    <row r="49" spans="2:13">
      <c r="B49" s="4"/>
      <c r="M49" s="5"/>
    </row>
    <row r="50" spans="2:13">
      <c r="B50" s="4"/>
      <c r="M50" s="5"/>
    </row>
    <row r="51" spans="2:13">
      <c r="B51" s="4"/>
      <c r="M51" s="5"/>
    </row>
    <row r="52" spans="2:13">
      <c r="B52" s="4"/>
      <c r="M52" s="5"/>
    </row>
    <row r="53" spans="2:13">
      <c r="B53" s="4"/>
      <c r="D53" s="20" t="s">
        <v>1</v>
      </c>
      <c r="E53" s="20" t="s">
        <v>2</v>
      </c>
      <c r="F53" s="20" t="s">
        <v>3</v>
      </c>
      <c r="M53" s="5"/>
    </row>
    <row r="54" spans="2:13">
      <c r="B54" s="4"/>
      <c r="C54" s="32" t="s">
        <v>44</v>
      </c>
      <c r="D54" s="35">
        <f>D12</f>
        <v>574.76553333333334</v>
      </c>
      <c r="E54" s="35">
        <f>E12</f>
        <v>600.13952631578945</v>
      </c>
      <c r="F54" s="35">
        <f>F12</f>
        <v>579.93109142857145</v>
      </c>
      <c r="G54" s="31" t="s">
        <v>45</v>
      </c>
      <c r="M54" s="5"/>
    </row>
    <row r="55" spans="2:13">
      <c r="B55" s="4"/>
      <c r="C55" s="32" t="s">
        <v>46</v>
      </c>
      <c r="D55" s="36">
        <f>D48</f>
        <v>1.2079496249999997</v>
      </c>
      <c r="E55" s="36">
        <f>E48</f>
        <v>1.1342249999999998</v>
      </c>
      <c r="F55" s="36">
        <f>F48</f>
        <v>1.1342249999999998</v>
      </c>
      <c r="G55" s="31" t="s">
        <v>47</v>
      </c>
      <c r="M55" s="5"/>
    </row>
    <row r="56" spans="2:13">
      <c r="B56" s="4"/>
      <c r="C56" s="32" t="s">
        <v>48</v>
      </c>
      <c r="D56" s="36">
        <f>E23</f>
        <v>0.98094164911077342</v>
      </c>
      <c r="E56" s="36">
        <f>F23</f>
        <v>0.98630541871921185</v>
      </c>
      <c r="F56" s="36">
        <f>F25</f>
        <v>1.0449895615866387</v>
      </c>
      <c r="G56" s="31" t="s">
        <v>49</v>
      </c>
      <c r="M56" s="5"/>
    </row>
    <row r="57" spans="2:13">
      <c r="B57" s="4"/>
      <c r="C57" s="32" t="s">
        <v>50</v>
      </c>
      <c r="D57" s="36">
        <f>F41</f>
        <v>1.0773605150214594</v>
      </c>
      <c r="E57" s="36">
        <f>G41</f>
        <v>1.0846926650102626</v>
      </c>
      <c r="F57" s="36">
        <f>H41</f>
        <v>1.1349610037300777</v>
      </c>
      <c r="G57" s="31" t="s">
        <v>51</v>
      </c>
      <c r="M57" s="5"/>
    </row>
    <row r="58" spans="2:13">
      <c r="B58" s="4"/>
      <c r="C58" s="32" t="s">
        <v>52</v>
      </c>
      <c r="D58" s="37">
        <f>D54*D55*D56*D57</f>
        <v>733.74265949050152</v>
      </c>
      <c r="E58" s="37">
        <f>E54*E55*E56*E57</f>
        <v>728.2316820386518</v>
      </c>
      <c r="F58" s="37">
        <f>F54*F55*F56*F57</f>
        <v>780.13273304273696</v>
      </c>
      <c r="G58" s="25" t="s">
        <v>53</v>
      </c>
      <c r="M58" s="5"/>
    </row>
    <row r="59" spans="2:13">
      <c r="B59" s="4"/>
      <c r="C59" s="32" t="s">
        <v>54</v>
      </c>
      <c r="D59" s="38">
        <v>0.25</v>
      </c>
      <c r="E59" s="38">
        <v>0.25</v>
      </c>
      <c r="F59" s="38">
        <v>0.5</v>
      </c>
      <c r="G59" s="31" t="s">
        <v>55</v>
      </c>
      <c r="M59" s="5"/>
    </row>
    <row r="60" spans="2:13">
      <c r="B60" s="4"/>
      <c r="C60" s="20" t="s">
        <v>56</v>
      </c>
      <c r="D60" s="195">
        <f>SUMPRODUCT(D58:F58,D59:F59)</f>
        <v>755.55995190365684</v>
      </c>
      <c r="E60" s="195"/>
      <c r="F60" s="195"/>
      <c r="G60" s="25" t="s">
        <v>57</v>
      </c>
      <c r="M60" s="5"/>
    </row>
    <row r="61" spans="2:13">
      <c r="B61" s="39"/>
      <c r="C61" s="40"/>
      <c r="D61" s="40"/>
      <c r="E61" s="40"/>
      <c r="F61" s="40"/>
      <c r="G61" s="40"/>
      <c r="H61" s="40"/>
      <c r="I61" s="40"/>
      <c r="J61" s="40"/>
      <c r="K61" s="40"/>
      <c r="L61" s="40"/>
      <c r="M61" s="41"/>
    </row>
    <row r="64" spans="2:13">
      <c r="B64" t="s">
        <v>122</v>
      </c>
    </row>
    <row r="65" spans="2:12">
      <c r="B65" s="1"/>
      <c r="C65" s="2"/>
      <c r="D65" s="2"/>
      <c r="E65" s="2"/>
      <c r="F65" s="2"/>
      <c r="G65" s="2"/>
      <c r="H65" s="2"/>
      <c r="I65" s="2"/>
      <c r="J65" s="2"/>
      <c r="K65" s="2"/>
      <c r="L65" s="3"/>
    </row>
    <row r="66" spans="2:12">
      <c r="B66" s="4"/>
      <c r="C66" s="15" t="s">
        <v>58</v>
      </c>
      <c r="D66" s="15" t="s">
        <v>59</v>
      </c>
      <c r="E66" s="15" t="s">
        <v>60</v>
      </c>
      <c r="F66" s="15" t="s">
        <v>61</v>
      </c>
      <c r="G66" s="15" t="s">
        <v>62</v>
      </c>
      <c r="H66" s="15"/>
      <c r="I66" s="15" t="s">
        <v>63</v>
      </c>
      <c r="J66" s="15" t="s">
        <v>64</v>
      </c>
      <c r="K66" s="15" t="s">
        <v>65</v>
      </c>
      <c r="L66" s="5"/>
    </row>
    <row r="67" spans="2:12">
      <c r="B67" s="4"/>
      <c r="C67" s="15" t="s">
        <v>66</v>
      </c>
      <c r="D67" s="15"/>
      <c r="E67" s="15"/>
      <c r="L67" s="5"/>
    </row>
    <row r="68" spans="2:12">
      <c r="B68" s="4"/>
      <c r="C68" s="42" t="s">
        <v>67</v>
      </c>
      <c r="D68" s="42"/>
      <c r="E68" s="42"/>
      <c r="L68" s="5"/>
    </row>
    <row r="69" spans="2:12">
      <c r="B69" s="4"/>
      <c r="C69" s="42" t="s">
        <v>68</v>
      </c>
      <c r="D69" s="42" t="s">
        <v>69</v>
      </c>
      <c r="E69" s="42" t="str">
        <f t="shared" ref="E69:E74" si="4">LEFT(D69,LEN(D69)-5)</f>
        <v>130</v>
      </c>
      <c r="F69" s="43">
        <v>5100</v>
      </c>
      <c r="G69" s="43">
        <v>200</v>
      </c>
      <c r="I69" s="44">
        <f t="shared" ref="I69:I74" si="5">(E69/1000)*(F69/12)</f>
        <v>55.25</v>
      </c>
      <c r="J69" s="44">
        <f t="shared" ref="J69:J74" si="6">(E69/1000)*(G69/12)</f>
        <v>2.166666666666667</v>
      </c>
      <c r="K69" s="37">
        <f t="shared" ref="K69:K74" si="7">I69-J69</f>
        <v>53.083333333333336</v>
      </c>
      <c r="L69" s="5"/>
    </row>
    <row r="70" spans="2:12">
      <c r="B70" s="4"/>
      <c r="C70" s="42" t="s">
        <v>70</v>
      </c>
      <c r="D70" s="42" t="s">
        <v>71</v>
      </c>
      <c r="E70" s="42" t="str">
        <f t="shared" si="4"/>
        <v>95</v>
      </c>
      <c r="F70" s="43">
        <v>9300</v>
      </c>
      <c r="G70" s="43">
        <v>200</v>
      </c>
      <c r="I70" s="44">
        <f t="shared" si="5"/>
        <v>73.625</v>
      </c>
      <c r="J70" s="44">
        <f t="shared" si="6"/>
        <v>1.5833333333333335</v>
      </c>
      <c r="K70" s="37">
        <f t="shared" si="7"/>
        <v>72.041666666666671</v>
      </c>
      <c r="L70" s="5"/>
    </row>
    <row r="71" spans="2:12">
      <c r="B71" s="4"/>
      <c r="C71" s="42" t="s">
        <v>72</v>
      </c>
      <c r="D71" s="42" t="s">
        <v>73</v>
      </c>
      <c r="E71" s="42" t="str">
        <f t="shared" si="4"/>
        <v>30</v>
      </c>
      <c r="F71" s="43">
        <v>3700</v>
      </c>
      <c r="G71" s="43">
        <v>200</v>
      </c>
      <c r="I71" s="44">
        <f t="shared" si="5"/>
        <v>9.2499999999999982</v>
      </c>
      <c r="J71" s="44">
        <f t="shared" si="6"/>
        <v>0.5</v>
      </c>
      <c r="K71" s="37">
        <f t="shared" si="7"/>
        <v>8.7499999999999982</v>
      </c>
      <c r="L71" s="5"/>
    </row>
    <row r="72" spans="2:12">
      <c r="B72" s="4"/>
      <c r="C72" s="42" t="s">
        <v>74</v>
      </c>
      <c r="D72" s="42" t="s">
        <v>75</v>
      </c>
      <c r="E72" s="42" t="str">
        <f t="shared" si="4"/>
        <v>45</v>
      </c>
      <c r="F72" s="43">
        <v>1200</v>
      </c>
      <c r="G72" s="43">
        <v>200</v>
      </c>
      <c r="I72" s="44">
        <f t="shared" si="5"/>
        <v>4.5</v>
      </c>
      <c r="J72" s="44">
        <f t="shared" si="6"/>
        <v>0.75</v>
      </c>
      <c r="K72" s="37">
        <f t="shared" si="7"/>
        <v>3.75</v>
      </c>
      <c r="L72" s="5"/>
    </row>
    <row r="73" spans="2:12">
      <c r="B73" s="4"/>
      <c r="C73" s="42" t="s">
        <v>76</v>
      </c>
      <c r="D73" s="42" t="s">
        <v>77</v>
      </c>
      <c r="E73" s="42" t="str">
        <f t="shared" si="4"/>
        <v>15</v>
      </c>
      <c r="F73" s="43">
        <v>775</v>
      </c>
      <c r="G73" s="43">
        <v>200</v>
      </c>
      <c r="I73" s="44">
        <f t="shared" si="5"/>
        <v>0.96874999999999989</v>
      </c>
      <c r="J73" s="44">
        <f t="shared" si="6"/>
        <v>0.25</v>
      </c>
      <c r="K73" s="37">
        <f t="shared" si="7"/>
        <v>0.71874999999999989</v>
      </c>
      <c r="L73" s="5"/>
    </row>
    <row r="74" spans="2:12">
      <c r="B74" s="4"/>
      <c r="C74" s="42" t="s">
        <v>78</v>
      </c>
      <c r="D74" s="42" t="s">
        <v>79</v>
      </c>
      <c r="E74" s="42" t="str">
        <f t="shared" si="4"/>
        <v>25</v>
      </c>
      <c r="F74" s="43">
        <v>695</v>
      </c>
      <c r="G74" s="43"/>
      <c r="I74" s="44">
        <f t="shared" si="5"/>
        <v>1.4479166666666667</v>
      </c>
      <c r="J74" s="44">
        <f t="shared" si="6"/>
        <v>0</v>
      </c>
      <c r="K74" s="37">
        <f t="shared" si="7"/>
        <v>1.4479166666666667</v>
      </c>
      <c r="L74" s="5"/>
    </row>
    <row r="75" spans="2:12">
      <c r="B75" s="4"/>
      <c r="C75" s="42" t="s">
        <v>80</v>
      </c>
      <c r="D75" s="42"/>
      <c r="E75" s="42"/>
      <c r="F75" s="43"/>
      <c r="G75" s="43"/>
      <c r="L75" s="5"/>
    </row>
    <row r="76" spans="2:12">
      <c r="B76" s="4"/>
      <c r="C76" s="42" t="s">
        <v>81</v>
      </c>
      <c r="D76" s="42" t="s">
        <v>82</v>
      </c>
      <c r="E76" s="42" t="str">
        <f>LEFT(D76,LEN(D76)-6)</f>
        <v>185</v>
      </c>
      <c r="F76" s="43">
        <v>1700</v>
      </c>
      <c r="G76" s="43">
        <v>100</v>
      </c>
      <c r="I76" s="44">
        <f>(E76/1000)*(F76/12)</f>
        <v>26.208333333333332</v>
      </c>
      <c r="J76" s="44">
        <f>(E76/1000)*(G76/12)</f>
        <v>1.5416666666666667</v>
      </c>
      <c r="K76" s="37">
        <f>I76-J76</f>
        <v>24.666666666666664</v>
      </c>
      <c r="L76" s="5"/>
    </row>
    <row r="77" spans="2:12">
      <c r="B77" s="4"/>
      <c r="C77" s="42" t="s">
        <v>83</v>
      </c>
      <c r="D77" s="42" t="s">
        <v>84</v>
      </c>
      <c r="E77" s="42" t="str">
        <f>LEFT(D77,LEN(D77)-6)</f>
        <v>330</v>
      </c>
      <c r="F77" s="43">
        <v>725</v>
      </c>
      <c r="G77" s="43"/>
      <c r="I77" s="44">
        <f>(E77/1000)*(F77/12)</f>
        <v>19.9375</v>
      </c>
      <c r="J77" s="44">
        <f>(E77/1000)*(G77/12)</f>
        <v>0</v>
      </c>
      <c r="K77" s="37">
        <f>I77-J77</f>
        <v>19.9375</v>
      </c>
      <c r="L77" s="5"/>
    </row>
    <row r="78" spans="2:12">
      <c r="B78" s="4"/>
      <c r="C78" s="42" t="s">
        <v>85</v>
      </c>
      <c r="D78" s="42" t="s">
        <v>86</v>
      </c>
      <c r="E78" s="42" t="str">
        <f>LEFT(D78,LEN(D78)-6)</f>
        <v>395</v>
      </c>
      <c r="F78" s="43">
        <v>245</v>
      </c>
      <c r="G78" s="43"/>
      <c r="I78" s="44">
        <f>(E78/1000)*(F78/12)</f>
        <v>8.064583333333335</v>
      </c>
      <c r="J78" s="44">
        <f>(E78/1000)*(G78/12)</f>
        <v>0</v>
      </c>
      <c r="K78" s="37">
        <f>I78-J78</f>
        <v>8.064583333333335</v>
      </c>
      <c r="L78" s="5"/>
    </row>
    <row r="79" spans="2:12">
      <c r="B79" s="4"/>
      <c r="C79" s="42" t="s">
        <v>87</v>
      </c>
      <c r="D79" s="42" t="s">
        <v>88</v>
      </c>
      <c r="E79" s="42" t="str">
        <f>LEFT(D79,LEN(D79)-6)</f>
        <v>145</v>
      </c>
      <c r="F79" s="43">
        <v>4400</v>
      </c>
      <c r="G79" s="43"/>
      <c r="I79" s="44">
        <f>(E79/1000)*(F79/12)</f>
        <v>53.166666666666664</v>
      </c>
      <c r="J79" s="44">
        <f>(E79/1000)*(G79/12)</f>
        <v>0</v>
      </c>
      <c r="K79" s="37">
        <f>I79-J79</f>
        <v>53.166666666666664</v>
      </c>
      <c r="L79" s="5"/>
    </row>
    <row r="80" spans="2:12">
      <c r="B80" s="4"/>
      <c r="C80" s="42" t="s">
        <v>89</v>
      </c>
      <c r="D80" s="42" t="s">
        <v>90</v>
      </c>
      <c r="E80" s="42" t="str">
        <f>LEFT(D80,LEN(D80)-6)</f>
        <v>580</v>
      </c>
      <c r="F80" s="43">
        <v>310</v>
      </c>
      <c r="G80" s="43"/>
      <c r="I80" s="44">
        <f>(E80/1000)*(F80/12)</f>
        <v>14.983333333333331</v>
      </c>
      <c r="J80" s="44">
        <f>(E80/1000)*(G80/12)</f>
        <v>0</v>
      </c>
      <c r="K80" s="37">
        <f>I80-J80</f>
        <v>14.983333333333331</v>
      </c>
      <c r="L80" s="5"/>
    </row>
    <row r="81" spans="2:12">
      <c r="B81" s="4"/>
      <c r="F81" s="43"/>
      <c r="G81" s="43"/>
      <c r="L81" s="5"/>
    </row>
    <row r="82" spans="2:12">
      <c r="B82" s="4"/>
      <c r="C82" s="15" t="s">
        <v>91</v>
      </c>
      <c r="D82" s="15"/>
      <c r="E82" s="15"/>
      <c r="F82" s="43"/>
      <c r="G82" s="43"/>
      <c r="L82" s="5"/>
    </row>
    <row r="83" spans="2:12">
      <c r="B83" s="4"/>
      <c r="C83" s="42" t="s">
        <v>92</v>
      </c>
      <c r="D83" s="42"/>
      <c r="E83" s="42"/>
      <c r="F83" s="43"/>
      <c r="G83" s="43"/>
      <c r="L83" s="5"/>
    </row>
    <row r="84" spans="2:12">
      <c r="B84" s="4"/>
      <c r="C84" s="42" t="s">
        <v>93</v>
      </c>
      <c r="D84" s="42" t="s">
        <v>94</v>
      </c>
      <c r="E84" s="42" t="str">
        <f>LEFT(D84,LEN(D84)-7)</f>
        <v>6,100</v>
      </c>
      <c r="F84" s="43">
        <v>115</v>
      </c>
      <c r="G84" s="43">
        <v>15</v>
      </c>
      <c r="I84" s="44">
        <f>(E84/1000)*(F84/12)</f>
        <v>58.458333333333336</v>
      </c>
      <c r="J84" s="44">
        <f>(E84/1000)*(G84/12)</f>
        <v>7.625</v>
      </c>
      <c r="K84" s="37">
        <f>I84-J84</f>
        <v>50.833333333333336</v>
      </c>
      <c r="L84" s="5"/>
    </row>
    <row r="85" spans="2:12">
      <c r="B85" s="4"/>
      <c r="C85" s="42" t="s">
        <v>95</v>
      </c>
      <c r="D85" s="42" t="s">
        <v>96</v>
      </c>
      <c r="E85" s="42" t="str">
        <f>LEFT(D85,LEN(D85)-7)</f>
        <v>300</v>
      </c>
      <c r="F85" s="43">
        <v>280</v>
      </c>
      <c r="G85" s="43"/>
      <c r="I85" s="44">
        <f>(E85/1000)*(F85/12)</f>
        <v>6.9999999999999991</v>
      </c>
      <c r="J85" s="44">
        <f>(E85/1000)*(G85/12)</f>
        <v>0</v>
      </c>
      <c r="K85" s="37">
        <f>I85-J85</f>
        <v>6.9999999999999991</v>
      </c>
      <c r="L85" s="5"/>
    </row>
    <row r="86" spans="2:12">
      <c r="B86" s="4"/>
      <c r="C86" s="42" t="s">
        <v>97</v>
      </c>
      <c r="D86" s="42" t="s">
        <v>98</v>
      </c>
      <c r="E86" s="42" t="str">
        <f>LEFT(D86,LEN(D86)-11)</f>
        <v>860</v>
      </c>
      <c r="F86" s="43">
        <v>60</v>
      </c>
      <c r="G86" s="43"/>
      <c r="I86" s="44">
        <f>(E86/1000)*(F86/12)</f>
        <v>4.3</v>
      </c>
      <c r="J86" s="44">
        <f>(E86/1000)*(G86/12)</f>
        <v>0</v>
      </c>
      <c r="K86" s="37">
        <f>I86-J86</f>
        <v>4.3</v>
      </c>
      <c r="L86" s="5"/>
    </row>
    <row r="87" spans="2:12">
      <c r="B87" s="4"/>
      <c r="C87" s="42" t="s">
        <v>99</v>
      </c>
      <c r="D87" s="42" t="s">
        <v>100</v>
      </c>
      <c r="E87" s="42" t="str">
        <f>LEFT(D87,LEN(D87)-7)</f>
        <v>265</v>
      </c>
      <c r="F87" s="43">
        <v>250</v>
      </c>
      <c r="G87" s="43"/>
      <c r="I87" s="44">
        <f>(E87/1000)*(F87/12)</f>
        <v>5.520833333333333</v>
      </c>
      <c r="J87" s="44">
        <f>(E87/1000)*(G87/12)</f>
        <v>0</v>
      </c>
      <c r="K87" s="37">
        <f>I87-J87</f>
        <v>5.520833333333333</v>
      </c>
      <c r="L87" s="5"/>
    </row>
    <row r="88" spans="2:12">
      <c r="B88" s="4"/>
      <c r="C88" s="42" t="s">
        <v>101</v>
      </c>
      <c r="D88" s="42"/>
      <c r="E88" s="42"/>
      <c r="F88" s="43"/>
      <c r="G88" s="43"/>
      <c r="L88" s="5"/>
    </row>
    <row r="89" spans="2:12">
      <c r="B89" s="4"/>
      <c r="C89" s="42" t="s">
        <v>102</v>
      </c>
      <c r="D89" s="42" t="s">
        <v>103</v>
      </c>
      <c r="E89" s="42" t="str">
        <f>LEFT(D89,LEN(D89)-11)</f>
        <v>55</v>
      </c>
      <c r="F89" s="43">
        <v>3100</v>
      </c>
      <c r="G89" s="43"/>
      <c r="I89" s="44">
        <f>(E89/1000)*(F89/12)</f>
        <v>14.208333333333332</v>
      </c>
      <c r="J89" s="44">
        <f>(E89/1000)*(G89/12)</f>
        <v>0</v>
      </c>
      <c r="K89" s="37">
        <f>I89-J89</f>
        <v>14.208333333333332</v>
      </c>
      <c r="L89" s="5"/>
    </row>
    <row r="90" spans="2:12">
      <c r="B90" s="4"/>
      <c r="C90" s="42" t="s">
        <v>104</v>
      </c>
      <c r="D90" s="42" t="s">
        <v>105</v>
      </c>
      <c r="E90" s="42" t="str">
        <f>LEFT(D90,LEN(D90)-11)</f>
        <v>700</v>
      </c>
      <c r="F90" s="43">
        <v>605</v>
      </c>
      <c r="G90" s="43"/>
      <c r="I90" s="44">
        <f>(E90/1000)*(F90/12)</f>
        <v>35.291666666666664</v>
      </c>
      <c r="J90" s="44">
        <f>(E90/1000)*(G90/12)</f>
        <v>0</v>
      </c>
      <c r="K90" s="37">
        <f>I90-J90</f>
        <v>35.291666666666664</v>
      </c>
      <c r="L90" s="5"/>
    </row>
    <row r="91" spans="2:12">
      <c r="B91" s="4"/>
      <c r="C91" s="42" t="s">
        <v>106</v>
      </c>
      <c r="D91" s="42" t="s">
        <v>107</v>
      </c>
      <c r="E91" s="42" t="str">
        <f>LEFT(D91,LEN(D91)-11)</f>
        <v>5,500</v>
      </c>
      <c r="F91" s="43">
        <v>110</v>
      </c>
      <c r="G91" s="43"/>
      <c r="I91" s="44">
        <f>(E91/1000)*(F91/12)</f>
        <v>50.416666666666664</v>
      </c>
      <c r="J91" s="44">
        <f>(E91/1000)*(G91/12)</f>
        <v>0</v>
      </c>
      <c r="K91" s="37">
        <f>I91-J91</f>
        <v>50.416666666666664</v>
      </c>
      <c r="L91" s="5"/>
    </row>
    <row r="92" spans="2:12">
      <c r="B92" s="4"/>
      <c r="F92" s="43"/>
      <c r="G92" s="43"/>
      <c r="L92" s="5"/>
    </row>
    <row r="93" spans="2:12">
      <c r="B93" s="4"/>
      <c r="C93" s="15" t="s">
        <v>108</v>
      </c>
      <c r="D93" s="15"/>
      <c r="E93" s="15"/>
      <c r="F93" s="43"/>
      <c r="G93" s="43"/>
      <c r="L93" s="5"/>
    </row>
    <row r="94" spans="2:12">
      <c r="B94" s="4"/>
      <c r="C94" s="42" t="s">
        <v>109</v>
      </c>
      <c r="D94" s="42" t="s">
        <v>110</v>
      </c>
      <c r="E94" s="42" t="str">
        <f>LEFT(D94,LEN(D94)-6)</f>
        <v>80</v>
      </c>
      <c r="F94" s="43">
        <v>1900</v>
      </c>
      <c r="G94" s="43"/>
      <c r="I94" s="44">
        <f>(E94/1000)*(F94/12)</f>
        <v>12.666666666666668</v>
      </c>
      <c r="J94" s="44">
        <f>(E94/1000)*(G94/12)</f>
        <v>0</v>
      </c>
      <c r="K94" s="37">
        <f>I94-J94</f>
        <v>12.666666666666668</v>
      </c>
      <c r="L94" s="5"/>
    </row>
    <row r="95" spans="2:12">
      <c r="B95" s="4"/>
      <c r="C95" s="42" t="s">
        <v>111</v>
      </c>
      <c r="D95" s="42" t="s">
        <v>112</v>
      </c>
      <c r="E95" s="42" t="str">
        <f>LEFT(D95,LEN(D95)-8)</f>
        <v>12,100</v>
      </c>
      <c r="F95" s="43">
        <v>85</v>
      </c>
      <c r="G95" s="43">
        <v>10</v>
      </c>
      <c r="I95" s="44">
        <f>(E95/1000)*(F95/12)</f>
        <v>85.708333333333329</v>
      </c>
      <c r="J95" s="44">
        <f>(E95/1000)*(G95/12)</f>
        <v>10.083333333333334</v>
      </c>
      <c r="K95" s="37">
        <f>I95-J95</f>
        <v>75.625</v>
      </c>
      <c r="L95" s="5"/>
    </row>
    <row r="96" spans="2:12">
      <c r="B96" s="4"/>
      <c r="C96" s="42" t="s">
        <v>113</v>
      </c>
      <c r="D96" s="42" t="s">
        <v>114</v>
      </c>
      <c r="E96" s="42" t="str">
        <f>LEFT(D96,LEN(D96)-7)</f>
        <v>45</v>
      </c>
      <c r="F96" s="43">
        <v>400</v>
      </c>
      <c r="G96" s="43"/>
      <c r="I96" s="44">
        <f>(E96/1000)*(F96/12)</f>
        <v>1.5</v>
      </c>
      <c r="J96" s="44">
        <f>(E96/1000)*(G96/12)</f>
        <v>0</v>
      </c>
      <c r="K96" s="37">
        <f>I96-J96</f>
        <v>1.5</v>
      </c>
      <c r="L96" s="5"/>
    </row>
    <row r="97" spans="2:16">
      <c r="B97" s="4"/>
      <c r="L97" s="5"/>
    </row>
    <row r="98" spans="2:16">
      <c r="B98" s="4"/>
      <c r="H98" t="s">
        <v>115</v>
      </c>
      <c r="I98" s="37">
        <f>SUM(I69:I96)</f>
        <v>542.47291666666672</v>
      </c>
      <c r="J98" s="37">
        <f>SUM(J69:J96)</f>
        <v>24.5</v>
      </c>
      <c r="K98" s="45">
        <f>SUM(K69:K96)</f>
        <v>517.97291666666661</v>
      </c>
      <c r="L98" s="5"/>
    </row>
    <row r="99" spans="2:16">
      <c r="B99" s="39"/>
      <c r="C99" s="40"/>
      <c r="D99" s="40"/>
      <c r="E99" s="40"/>
      <c r="F99" s="40"/>
      <c r="G99" s="40"/>
      <c r="H99" s="40"/>
      <c r="I99" s="40"/>
      <c r="J99" s="40"/>
      <c r="K99" s="40"/>
      <c r="L99" s="41"/>
    </row>
    <row r="101" spans="2:16">
      <c r="B101" t="s">
        <v>121</v>
      </c>
    </row>
    <row r="102" spans="2:16">
      <c r="B102" s="1"/>
      <c r="C102" s="2"/>
      <c r="D102" s="2"/>
      <c r="E102" s="2"/>
      <c r="F102" s="2"/>
      <c r="G102" s="2"/>
      <c r="H102" s="2"/>
      <c r="I102" s="2"/>
      <c r="J102" s="2"/>
      <c r="K102" s="2"/>
      <c r="L102" s="2"/>
      <c r="M102" s="2"/>
      <c r="N102" s="2"/>
      <c r="O102" s="2"/>
      <c r="P102" s="3"/>
    </row>
    <row r="103" spans="2:16">
      <c r="B103" s="4"/>
      <c r="I103" s="196" t="s">
        <v>116</v>
      </c>
      <c r="J103" s="196"/>
      <c r="K103" s="196"/>
      <c r="M103" s="196" t="s">
        <v>117</v>
      </c>
      <c r="N103" s="196"/>
      <c r="O103" s="196"/>
      <c r="P103" s="5"/>
    </row>
    <row r="104" spans="2:16" ht="105">
      <c r="B104" s="4"/>
      <c r="C104" s="46" t="s">
        <v>58</v>
      </c>
      <c r="D104" s="46" t="s">
        <v>59</v>
      </c>
      <c r="E104" s="46" t="s">
        <v>60</v>
      </c>
      <c r="F104" s="46" t="s">
        <v>61</v>
      </c>
      <c r="G104" s="46" t="s">
        <v>62</v>
      </c>
      <c r="H104" s="46"/>
      <c r="I104" s="46" t="s">
        <v>63</v>
      </c>
      <c r="J104" s="46" t="s">
        <v>64</v>
      </c>
      <c r="K104" s="46" t="s">
        <v>65</v>
      </c>
      <c r="L104" s="46"/>
      <c r="M104" s="46" t="s">
        <v>118</v>
      </c>
      <c r="N104" s="46" t="s">
        <v>119</v>
      </c>
      <c r="O104" s="46" t="s">
        <v>120</v>
      </c>
      <c r="P104" s="5"/>
    </row>
    <row r="105" spans="2:16">
      <c r="B105" s="4"/>
      <c r="C105" s="15" t="s">
        <v>66</v>
      </c>
      <c r="D105" s="15"/>
      <c r="E105" s="15"/>
      <c r="P105" s="5"/>
    </row>
    <row r="106" spans="2:16">
      <c r="B106" s="4"/>
      <c r="C106" s="47" t="s">
        <v>67</v>
      </c>
      <c r="D106" s="42"/>
      <c r="E106" s="42"/>
      <c r="P106" s="5"/>
    </row>
    <row r="107" spans="2:16">
      <c r="B107" s="4"/>
      <c r="C107" s="48" t="s">
        <v>68</v>
      </c>
      <c r="D107" s="42" t="s">
        <v>69</v>
      </c>
      <c r="E107" s="42" t="str">
        <f t="shared" ref="E107:E112" si="8">LEFT(D107,LEN(D107)-5)</f>
        <v>130</v>
      </c>
      <c r="F107" s="49">
        <v>5100</v>
      </c>
      <c r="G107" s="49">
        <v>200</v>
      </c>
      <c r="I107" s="50">
        <f t="shared" ref="I107:I112" si="9">(E107/1000)*(F107/12)</f>
        <v>55.25</v>
      </c>
      <c r="J107" s="50">
        <f t="shared" ref="J107:J112" si="10">(E107/1000)*(G107/12)</f>
        <v>2.166666666666667</v>
      </c>
      <c r="K107" s="37">
        <f t="shared" ref="K107:K112" si="11">I107-J107</f>
        <v>53.083333333333336</v>
      </c>
      <c r="M107" s="49">
        <v>300</v>
      </c>
      <c r="N107" s="50">
        <f t="shared" ref="N107:N112" si="12">(E107/1000)*(M107/12)</f>
        <v>3.25</v>
      </c>
      <c r="O107" s="37">
        <f t="shared" ref="O107:O112" si="13">I107-N107</f>
        <v>52</v>
      </c>
      <c r="P107" s="5"/>
    </row>
    <row r="108" spans="2:16">
      <c r="B108" s="4"/>
      <c r="C108" s="48" t="s">
        <v>70</v>
      </c>
      <c r="D108" s="42" t="s">
        <v>71</v>
      </c>
      <c r="E108" s="42" t="str">
        <f t="shared" si="8"/>
        <v>95</v>
      </c>
      <c r="F108" s="49">
        <v>9300</v>
      </c>
      <c r="G108" s="49">
        <v>200</v>
      </c>
      <c r="I108" s="50">
        <f t="shared" si="9"/>
        <v>73.625</v>
      </c>
      <c r="J108" s="50">
        <f t="shared" si="10"/>
        <v>1.5833333333333335</v>
      </c>
      <c r="K108" s="37">
        <f t="shared" si="11"/>
        <v>72.041666666666671</v>
      </c>
      <c r="M108" s="49">
        <f>M107</f>
        <v>300</v>
      </c>
      <c r="N108" s="50">
        <f t="shared" si="12"/>
        <v>2.375</v>
      </c>
      <c r="O108" s="37">
        <f t="shared" si="13"/>
        <v>71.25</v>
      </c>
      <c r="P108" s="5"/>
    </row>
    <row r="109" spans="2:16">
      <c r="B109" s="4"/>
      <c r="C109" s="48" t="s">
        <v>72</v>
      </c>
      <c r="D109" s="42" t="s">
        <v>73</v>
      </c>
      <c r="E109" s="42" t="str">
        <f t="shared" si="8"/>
        <v>30</v>
      </c>
      <c r="F109" s="49">
        <v>3700</v>
      </c>
      <c r="G109" s="49">
        <v>200</v>
      </c>
      <c r="I109" s="50">
        <f t="shared" si="9"/>
        <v>9.2499999999999982</v>
      </c>
      <c r="J109" s="50">
        <f t="shared" si="10"/>
        <v>0.5</v>
      </c>
      <c r="K109" s="37">
        <f t="shared" si="11"/>
        <v>8.7499999999999982</v>
      </c>
      <c r="M109" s="49">
        <f>M108</f>
        <v>300</v>
      </c>
      <c r="N109" s="50">
        <f t="shared" si="12"/>
        <v>0.75</v>
      </c>
      <c r="O109" s="37">
        <f t="shared" si="13"/>
        <v>8.4999999999999982</v>
      </c>
      <c r="P109" s="5"/>
    </row>
    <row r="110" spans="2:16">
      <c r="B110" s="4"/>
      <c r="C110" s="48" t="s">
        <v>74</v>
      </c>
      <c r="D110" s="42" t="s">
        <v>75</v>
      </c>
      <c r="E110" s="42" t="str">
        <f t="shared" si="8"/>
        <v>45</v>
      </c>
      <c r="F110" s="49">
        <v>1200</v>
      </c>
      <c r="G110" s="49">
        <v>200</v>
      </c>
      <c r="I110" s="50">
        <f t="shared" si="9"/>
        <v>4.5</v>
      </c>
      <c r="J110" s="50">
        <f t="shared" si="10"/>
        <v>0.75</v>
      </c>
      <c r="K110" s="37">
        <f t="shared" si="11"/>
        <v>3.75</v>
      </c>
      <c r="M110" s="49">
        <f>M109</f>
        <v>300</v>
      </c>
      <c r="N110" s="50">
        <f t="shared" si="12"/>
        <v>1.125</v>
      </c>
      <c r="O110" s="37">
        <f t="shared" si="13"/>
        <v>3.375</v>
      </c>
      <c r="P110" s="5"/>
    </row>
    <row r="111" spans="2:16">
      <c r="B111" s="4"/>
      <c r="C111" s="48" t="s">
        <v>76</v>
      </c>
      <c r="D111" s="42" t="s">
        <v>77</v>
      </c>
      <c r="E111" s="42" t="str">
        <f t="shared" si="8"/>
        <v>15</v>
      </c>
      <c r="F111" s="49">
        <v>775</v>
      </c>
      <c r="G111" s="49">
        <v>200</v>
      </c>
      <c r="I111" s="50">
        <f t="shared" si="9"/>
        <v>0.96874999999999989</v>
      </c>
      <c r="J111" s="50">
        <f t="shared" si="10"/>
        <v>0.25</v>
      </c>
      <c r="K111" s="37">
        <f t="shared" si="11"/>
        <v>0.71874999999999989</v>
      </c>
      <c r="M111" s="49">
        <f>M110</f>
        <v>300</v>
      </c>
      <c r="N111" s="50">
        <f t="shared" si="12"/>
        <v>0.375</v>
      </c>
      <c r="O111" s="37">
        <f t="shared" si="13"/>
        <v>0.59374999999999989</v>
      </c>
      <c r="P111" s="5"/>
    </row>
    <row r="112" spans="2:16">
      <c r="B112" s="4"/>
      <c r="C112" s="48" t="s">
        <v>78</v>
      </c>
      <c r="D112" s="42" t="s">
        <v>79</v>
      </c>
      <c r="E112" s="42" t="str">
        <f t="shared" si="8"/>
        <v>25</v>
      </c>
      <c r="F112" s="49">
        <v>695</v>
      </c>
      <c r="G112" s="49"/>
      <c r="I112" s="50">
        <f t="shared" si="9"/>
        <v>1.4479166666666667</v>
      </c>
      <c r="J112" s="50">
        <f t="shared" si="10"/>
        <v>0</v>
      </c>
      <c r="K112" s="37">
        <f t="shared" si="11"/>
        <v>1.4479166666666667</v>
      </c>
      <c r="M112" s="49"/>
      <c r="N112" s="50">
        <f t="shared" si="12"/>
        <v>0</v>
      </c>
      <c r="O112" s="37">
        <f t="shared" si="13"/>
        <v>1.4479166666666667</v>
      </c>
      <c r="P112" s="5"/>
    </row>
    <row r="113" spans="2:16">
      <c r="B113" s="4"/>
      <c r="C113" s="47" t="s">
        <v>80</v>
      </c>
      <c r="D113" s="42"/>
      <c r="E113" s="42"/>
      <c r="F113" s="49"/>
      <c r="G113" s="49"/>
      <c r="M113" s="49"/>
      <c r="P113" s="5"/>
    </row>
    <row r="114" spans="2:16">
      <c r="B114" s="4"/>
      <c r="C114" s="48" t="s">
        <v>81</v>
      </c>
      <c r="D114" s="42" t="s">
        <v>82</v>
      </c>
      <c r="E114" s="42" t="str">
        <f>LEFT(D114,LEN(D114)-6)</f>
        <v>185</v>
      </c>
      <c r="F114" s="49">
        <v>1700</v>
      </c>
      <c r="G114" s="49">
        <v>100</v>
      </c>
      <c r="I114" s="50">
        <f>(E114/1000)*(F114/12)</f>
        <v>26.208333333333332</v>
      </c>
      <c r="J114" s="50">
        <f>(E114/1000)*(G114/12)</f>
        <v>1.5416666666666667</v>
      </c>
      <c r="K114" s="37">
        <f>I114-J114</f>
        <v>24.666666666666664</v>
      </c>
      <c r="M114" s="49">
        <v>250</v>
      </c>
      <c r="N114" s="50">
        <f>(E114/1000)*(M114/12)</f>
        <v>3.8541666666666665</v>
      </c>
      <c r="O114" s="37">
        <f>I114-N114</f>
        <v>22.354166666666664</v>
      </c>
      <c r="P114" s="5"/>
    </row>
    <row r="115" spans="2:16">
      <c r="B115" s="4"/>
      <c r="C115" s="48" t="s">
        <v>83</v>
      </c>
      <c r="D115" s="42" t="s">
        <v>84</v>
      </c>
      <c r="E115" s="42" t="str">
        <f>LEFT(D115,LEN(D115)-6)</f>
        <v>330</v>
      </c>
      <c r="F115" s="49">
        <v>725</v>
      </c>
      <c r="G115" s="49"/>
      <c r="I115" s="50">
        <f>(E115/1000)*(F115/12)</f>
        <v>19.9375</v>
      </c>
      <c r="J115" s="50">
        <f>(E115/1000)*(G115/12)</f>
        <v>0</v>
      </c>
      <c r="K115" s="37">
        <f>I115-J115</f>
        <v>19.9375</v>
      </c>
      <c r="M115" s="49"/>
      <c r="N115" s="50">
        <f>(E115/1000)*(M115/12)</f>
        <v>0</v>
      </c>
      <c r="O115" s="37">
        <f>I115-N115</f>
        <v>19.9375</v>
      </c>
      <c r="P115" s="5"/>
    </row>
    <row r="116" spans="2:16">
      <c r="B116" s="4"/>
      <c r="C116" s="48" t="s">
        <v>85</v>
      </c>
      <c r="D116" s="42" t="s">
        <v>86</v>
      </c>
      <c r="E116" s="42" t="str">
        <f>LEFT(D116,LEN(D116)-6)</f>
        <v>395</v>
      </c>
      <c r="F116" s="49">
        <v>245</v>
      </c>
      <c r="G116" s="49"/>
      <c r="I116" s="50">
        <f>(E116/1000)*(F116/12)</f>
        <v>8.064583333333335</v>
      </c>
      <c r="J116" s="50">
        <f>(E116/1000)*(G116/12)</f>
        <v>0</v>
      </c>
      <c r="K116" s="37">
        <f>I116-J116</f>
        <v>8.064583333333335</v>
      </c>
      <c r="M116" s="49"/>
      <c r="N116" s="50">
        <f>(E116/1000)*(M116/12)</f>
        <v>0</v>
      </c>
      <c r="O116" s="37">
        <f>I116-N116</f>
        <v>8.064583333333335</v>
      </c>
      <c r="P116" s="5"/>
    </row>
    <row r="117" spans="2:16">
      <c r="B117" s="4"/>
      <c r="C117" s="48" t="s">
        <v>87</v>
      </c>
      <c r="D117" s="42" t="s">
        <v>88</v>
      </c>
      <c r="E117" s="42" t="str">
        <f>LEFT(D117,LEN(D117)-6)</f>
        <v>145</v>
      </c>
      <c r="F117" s="49">
        <v>4400</v>
      </c>
      <c r="G117" s="49"/>
      <c r="I117" s="50">
        <f>(E117/1000)*(F117/12)</f>
        <v>53.166666666666664</v>
      </c>
      <c r="J117" s="50">
        <f>(E117/1000)*(G117/12)</f>
        <v>0</v>
      </c>
      <c r="K117" s="37">
        <f>I117-J117</f>
        <v>53.166666666666664</v>
      </c>
      <c r="M117" s="49"/>
      <c r="N117" s="50">
        <f>(E117/1000)*(M117/12)</f>
        <v>0</v>
      </c>
      <c r="O117" s="37">
        <f>I117-N117</f>
        <v>53.166666666666664</v>
      </c>
      <c r="P117" s="5"/>
    </row>
    <row r="118" spans="2:16">
      <c r="B118" s="4"/>
      <c r="C118" s="48" t="s">
        <v>89</v>
      </c>
      <c r="D118" s="42" t="s">
        <v>90</v>
      </c>
      <c r="E118" s="42" t="str">
        <f>LEFT(D118,LEN(D118)-6)</f>
        <v>580</v>
      </c>
      <c r="F118" s="49">
        <v>310</v>
      </c>
      <c r="G118" s="49"/>
      <c r="I118" s="50">
        <f>(E118/1000)*(F118/12)</f>
        <v>14.983333333333331</v>
      </c>
      <c r="J118" s="50">
        <f>(E118/1000)*(G118/12)</f>
        <v>0</v>
      </c>
      <c r="K118" s="37">
        <f>I118-J118</f>
        <v>14.983333333333331</v>
      </c>
      <c r="M118" s="49"/>
      <c r="N118" s="50">
        <f>(E118/1000)*(M118/12)</f>
        <v>0</v>
      </c>
      <c r="O118" s="37">
        <f>I118-N118</f>
        <v>14.983333333333331</v>
      </c>
      <c r="P118" s="5"/>
    </row>
    <row r="119" spans="2:16">
      <c r="B119" s="4"/>
      <c r="F119" s="49"/>
      <c r="G119" s="49"/>
      <c r="M119" s="49"/>
      <c r="P119" s="5"/>
    </row>
    <row r="120" spans="2:16">
      <c r="B120" s="4"/>
      <c r="C120" s="15" t="s">
        <v>91</v>
      </c>
      <c r="D120" s="15"/>
      <c r="E120" s="15"/>
      <c r="F120" s="49"/>
      <c r="G120" s="49"/>
      <c r="M120" s="49"/>
      <c r="P120" s="5"/>
    </row>
    <row r="121" spans="2:16">
      <c r="B121" s="4"/>
      <c r="C121" s="47" t="s">
        <v>92</v>
      </c>
      <c r="D121" s="42"/>
      <c r="E121" s="42"/>
      <c r="F121" s="49"/>
      <c r="G121" s="49"/>
      <c r="M121" s="49"/>
      <c r="P121" s="5"/>
    </row>
    <row r="122" spans="2:16">
      <c r="B122" s="4"/>
      <c r="C122" s="48" t="s">
        <v>93</v>
      </c>
      <c r="D122" s="42" t="s">
        <v>94</v>
      </c>
      <c r="E122" s="42" t="str">
        <f>LEFT(D122,LEN(D122)-7)</f>
        <v>6,100</v>
      </c>
      <c r="F122" s="49">
        <v>115</v>
      </c>
      <c r="G122" s="49">
        <v>15</v>
      </c>
      <c r="I122" s="50">
        <f>(E122/1000)*(F122/12)</f>
        <v>58.458333333333336</v>
      </c>
      <c r="J122" s="50">
        <f>(E122/1000)*(G122/12)</f>
        <v>7.625</v>
      </c>
      <c r="K122" s="37">
        <f>I122-J122</f>
        <v>50.833333333333336</v>
      </c>
      <c r="M122" s="49">
        <v>15</v>
      </c>
      <c r="N122" s="50">
        <f>(E122/1000)*(M122/12)</f>
        <v>7.625</v>
      </c>
      <c r="O122" s="37">
        <f>I122-N122</f>
        <v>50.833333333333336</v>
      </c>
      <c r="P122" s="5"/>
    </row>
    <row r="123" spans="2:16">
      <c r="B123" s="4"/>
      <c r="C123" s="48" t="s">
        <v>95</v>
      </c>
      <c r="D123" s="42" t="s">
        <v>96</v>
      </c>
      <c r="E123" s="42" t="str">
        <f>LEFT(D123,LEN(D123)-7)</f>
        <v>300</v>
      </c>
      <c r="F123" s="49">
        <v>280</v>
      </c>
      <c r="G123" s="49"/>
      <c r="I123" s="50">
        <f>(E123/1000)*(F123/12)</f>
        <v>6.9999999999999991</v>
      </c>
      <c r="J123" s="50">
        <f>(E123/1000)*(G123/12)</f>
        <v>0</v>
      </c>
      <c r="K123" s="37">
        <f>I123-J123</f>
        <v>6.9999999999999991</v>
      </c>
      <c r="M123" s="49"/>
      <c r="N123" s="50">
        <f>(E123/1000)*(M123/12)</f>
        <v>0</v>
      </c>
      <c r="O123" s="37">
        <f>I123-N123</f>
        <v>6.9999999999999991</v>
      </c>
      <c r="P123" s="5"/>
    </row>
    <row r="124" spans="2:16">
      <c r="B124" s="4"/>
      <c r="C124" s="48" t="s">
        <v>97</v>
      </c>
      <c r="D124" s="42" t="s">
        <v>98</v>
      </c>
      <c r="E124" s="42" t="str">
        <f>LEFT(D124,LEN(D124)-11)</f>
        <v>860</v>
      </c>
      <c r="F124" s="49">
        <v>60</v>
      </c>
      <c r="G124" s="49"/>
      <c r="I124" s="50">
        <f>(E124/1000)*(F124/12)</f>
        <v>4.3</v>
      </c>
      <c r="J124" s="50">
        <f>(E124/1000)*(G124/12)</f>
        <v>0</v>
      </c>
      <c r="K124" s="37">
        <f>I124-J124</f>
        <v>4.3</v>
      </c>
      <c r="M124" s="49"/>
      <c r="N124" s="50">
        <f>(E124/1000)*(M124/12)</f>
        <v>0</v>
      </c>
      <c r="O124" s="37">
        <f>I124-N124</f>
        <v>4.3</v>
      </c>
      <c r="P124" s="5"/>
    </row>
    <row r="125" spans="2:16">
      <c r="B125" s="4"/>
      <c r="C125" s="47" t="s">
        <v>99</v>
      </c>
      <c r="D125" s="42" t="s">
        <v>100</v>
      </c>
      <c r="E125" s="42" t="str">
        <f>LEFT(D125,LEN(D125)-7)</f>
        <v>265</v>
      </c>
      <c r="F125" s="49">
        <v>250</v>
      </c>
      <c r="G125" s="49"/>
      <c r="I125" s="50">
        <f>(E125/1000)*(F125/12)</f>
        <v>5.520833333333333</v>
      </c>
      <c r="J125" s="50">
        <f>(E125/1000)*(G125/12)</f>
        <v>0</v>
      </c>
      <c r="K125" s="37">
        <f>I125-J125</f>
        <v>5.520833333333333</v>
      </c>
      <c r="M125" s="49"/>
      <c r="N125" s="50">
        <f>(E125/1000)*(M125/12)</f>
        <v>0</v>
      </c>
      <c r="O125" s="37">
        <f>I125-N125</f>
        <v>5.520833333333333</v>
      </c>
      <c r="P125" s="5"/>
    </row>
    <row r="126" spans="2:16">
      <c r="B126" s="4"/>
      <c r="C126" s="47" t="s">
        <v>101</v>
      </c>
      <c r="D126" s="42"/>
      <c r="E126" s="42"/>
      <c r="F126" s="49"/>
      <c r="G126" s="49"/>
      <c r="M126" s="49"/>
      <c r="P126" s="5"/>
    </row>
    <row r="127" spans="2:16">
      <c r="B127" s="4"/>
      <c r="C127" s="48" t="s">
        <v>102</v>
      </c>
      <c r="D127" s="42" t="s">
        <v>103</v>
      </c>
      <c r="E127" s="42" t="str">
        <f>LEFT(D127,LEN(D127)-11)</f>
        <v>55</v>
      </c>
      <c r="F127" s="49">
        <v>3100</v>
      </c>
      <c r="G127" s="49"/>
      <c r="I127" s="50">
        <f>(E127/1000)*(F127/12)</f>
        <v>14.208333333333332</v>
      </c>
      <c r="J127" s="50">
        <f>(E127/1000)*(G127/12)</f>
        <v>0</v>
      </c>
      <c r="K127" s="37">
        <f>I127-J127</f>
        <v>14.208333333333332</v>
      </c>
      <c r="M127" s="49"/>
      <c r="N127" s="50">
        <f>(E127/1000)*(M127/12)</f>
        <v>0</v>
      </c>
      <c r="O127" s="37">
        <f>I127-N127</f>
        <v>14.208333333333332</v>
      </c>
      <c r="P127" s="5"/>
    </row>
    <row r="128" spans="2:16">
      <c r="B128" s="4"/>
      <c r="C128" s="48" t="s">
        <v>104</v>
      </c>
      <c r="D128" s="42" t="s">
        <v>105</v>
      </c>
      <c r="E128" s="42" t="str">
        <f>LEFT(D128,LEN(D128)-11)</f>
        <v>700</v>
      </c>
      <c r="F128" s="49">
        <v>605</v>
      </c>
      <c r="G128" s="49"/>
      <c r="I128" s="50">
        <f>(E128/1000)*(F128/12)</f>
        <v>35.291666666666664</v>
      </c>
      <c r="J128" s="50">
        <f>(E128/1000)*(G128/12)</f>
        <v>0</v>
      </c>
      <c r="K128" s="37">
        <f>I128-J128</f>
        <v>35.291666666666664</v>
      </c>
      <c r="M128" s="49"/>
      <c r="N128" s="50">
        <f>(E128/1000)*(M128/12)</f>
        <v>0</v>
      </c>
      <c r="O128" s="37">
        <f>I128-N128</f>
        <v>35.291666666666664</v>
      </c>
      <c r="P128" s="5"/>
    </row>
    <row r="129" spans="2:16">
      <c r="B129" s="4"/>
      <c r="C129" s="47" t="s">
        <v>106</v>
      </c>
      <c r="D129" s="42" t="s">
        <v>107</v>
      </c>
      <c r="E129" s="42" t="str">
        <f>LEFT(D129,LEN(D129)-11)</f>
        <v>5,500</v>
      </c>
      <c r="F129" s="49">
        <v>110</v>
      </c>
      <c r="G129" s="49"/>
      <c r="I129" s="50">
        <f>(E129/1000)*(F129/12)</f>
        <v>50.416666666666664</v>
      </c>
      <c r="J129" s="50">
        <f>(E129/1000)*(G129/12)</f>
        <v>0</v>
      </c>
      <c r="K129" s="37">
        <f>I129-J129</f>
        <v>50.416666666666664</v>
      </c>
      <c r="M129" s="49">
        <v>10</v>
      </c>
      <c r="N129" s="50">
        <f>(E129/1000)*(M129/12)</f>
        <v>4.5833333333333339</v>
      </c>
      <c r="O129" s="37">
        <f>I129-N129</f>
        <v>45.833333333333329</v>
      </c>
      <c r="P129" s="5"/>
    </row>
    <row r="130" spans="2:16">
      <c r="B130" s="4"/>
      <c r="F130" s="49"/>
      <c r="G130" s="49"/>
      <c r="M130" s="49"/>
      <c r="P130" s="5"/>
    </row>
    <row r="131" spans="2:16">
      <c r="B131" s="4"/>
      <c r="C131" s="15" t="s">
        <v>108</v>
      </c>
      <c r="D131" s="15"/>
      <c r="E131" s="15"/>
      <c r="F131" s="49"/>
      <c r="G131" s="49"/>
      <c r="M131" s="49"/>
      <c r="P131" s="5"/>
    </row>
    <row r="132" spans="2:16">
      <c r="B132" s="4"/>
      <c r="C132" s="47" t="s">
        <v>109</v>
      </c>
      <c r="D132" s="42" t="s">
        <v>110</v>
      </c>
      <c r="E132" s="42" t="str">
        <f>LEFT(D132,LEN(D132)-6)</f>
        <v>80</v>
      </c>
      <c r="F132" s="49">
        <v>1900</v>
      </c>
      <c r="G132" s="49"/>
      <c r="I132" s="50">
        <f>(E132/1000)*(F132/12)</f>
        <v>12.666666666666668</v>
      </c>
      <c r="J132" s="50">
        <f>(E132/1000)*(G132/12)</f>
        <v>0</v>
      </c>
      <c r="K132" s="37">
        <f>I132-J132</f>
        <v>12.666666666666668</v>
      </c>
      <c r="M132" s="49"/>
      <c r="N132" s="50">
        <f>(E132/1000)*(M132/12)</f>
        <v>0</v>
      </c>
      <c r="O132" s="37">
        <f>I132-N132</f>
        <v>12.666666666666668</v>
      </c>
      <c r="P132" s="5"/>
    </row>
    <row r="133" spans="2:16">
      <c r="B133" s="4"/>
      <c r="C133" s="47" t="s">
        <v>111</v>
      </c>
      <c r="D133" s="42" t="s">
        <v>112</v>
      </c>
      <c r="E133" s="42" t="str">
        <f>LEFT(D133,LEN(D133)-8)</f>
        <v>12,100</v>
      </c>
      <c r="F133" s="49">
        <v>85</v>
      </c>
      <c r="G133" s="49">
        <v>10</v>
      </c>
      <c r="I133" s="50">
        <f>(E133/1000)*(F133/12)</f>
        <v>85.708333333333329</v>
      </c>
      <c r="J133" s="50">
        <f>(E133/1000)*(G133/12)</f>
        <v>10.083333333333334</v>
      </c>
      <c r="K133" s="37">
        <f>I133-J133</f>
        <v>75.625</v>
      </c>
      <c r="M133" s="49">
        <v>10</v>
      </c>
      <c r="N133" s="50">
        <f>(E133/1000)*(M133/12)</f>
        <v>10.083333333333334</v>
      </c>
      <c r="O133" s="37">
        <f>I133-N133</f>
        <v>75.625</v>
      </c>
      <c r="P133" s="5"/>
    </row>
    <row r="134" spans="2:16">
      <c r="B134" s="4"/>
      <c r="C134" s="47" t="s">
        <v>113</v>
      </c>
      <c r="D134" s="42" t="s">
        <v>114</v>
      </c>
      <c r="E134" s="42" t="str">
        <f>LEFT(D134,LEN(D134)-7)</f>
        <v>45</v>
      </c>
      <c r="F134" s="49">
        <v>400</v>
      </c>
      <c r="G134" s="49"/>
      <c r="I134" s="50">
        <f>(E134/1000)*(F134/12)</f>
        <v>1.5</v>
      </c>
      <c r="J134" s="50">
        <f>(E134/1000)*(G134/12)</f>
        <v>0</v>
      </c>
      <c r="K134" s="37">
        <f>I134-J134</f>
        <v>1.5</v>
      </c>
      <c r="M134" s="49"/>
      <c r="N134" s="50">
        <f>(E134/1000)*(M134/12)</f>
        <v>0</v>
      </c>
      <c r="O134" s="37">
        <f>I134-N134</f>
        <v>1.5</v>
      </c>
      <c r="P134" s="5"/>
    </row>
    <row r="135" spans="2:16">
      <c r="B135" s="4"/>
      <c r="P135" s="5"/>
    </row>
    <row r="136" spans="2:16">
      <c r="B136" s="4"/>
      <c r="H136" t="s">
        <v>115</v>
      </c>
      <c r="I136" s="37">
        <f>SUM(I107:I134)</f>
        <v>542.47291666666672</v>
      </c>
      <c r="J136" s="37">
        <f>SUM(J107:J134)</f>
        <v>24.5</v>
      </c>
      <c r="K136" s="37">
        <f>SUM(K107:K134)</f>
        <v>517.97291666666661</v>
      </c>
      <c r="N136" s="37">
        <f>SUM(N107:N134)</f>
        <v>34.020833333333336</v>
      </c>
      <c r="O136" s="45">
        <f>SUM(O107:O134)</f>
        <v>508.45208333333329</v>
      </c>
      <c r="P136" s="5"/>
    </row>
    <row r="137" spans="2:16">
      <c r="B137" s="39"/>
      <c r="C137" s="40"/>
      <c r="D137" s="40"/>
      <c r="E137" s="40"/>
      <c r="F137" s="40"/>
      <c r="G137" s="40"/>
      <c r="H137" s="40"/>
      <c r="I137" s="40"/>
      <c r="J137" s="40"/>
      <c r="K137" s="40"/>
      <c r="L137" s="40"/>
      <c r="M137" s="40"/>
      <c r="N137" s="40"/>
      <c r="O137" s="40"/>
      <c r="P137" s="41"/>
    </row>
  </sheetData>
  <mergeCells count="15">
    <mergeCell ref="C27:I27"/>
    <mergeCell ref="C8:F8"/>
    <mergeCell ref="C15:G15"/>
    <mergeCell ref="E16:G16"/>
    <mergeCell ref="C22:D22"/>
    <mergeCell ref="C23:D23"/>
    <mergeCell ref="D60:F60"/>
    <mergeCell ref="I103:K103"/>
    <mergeCell ref="M103:O103"/>
    <mergeCell ref="C28:C29"/>
    <mergeCell ref="D28:D29"/>
    <mergeCell ref="E28:E29"/>
    <mergeCell ref="F28:I28"/>
    <mergeCell ref="C40:E40"/>
    <mergeCell ref="C41:E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B82B-E5FE-4B19-B06D-372F0D708A44}">
  <dimension ref="A1:L84"/>
  <sheetViews>
    <sheetView topLeftCell="A69" zoomScale="85" zoomScaleNormal="85" workbookViewId="0">
      <selection activeCell="H84" sqref="H84"/>
    </sheetView>
  </sheetViews>
  <sheetFormatPr defaultColWidth="8.7109375" defaultRowHeight="15.75"/>
  <cols>
    <col min="1" max="1" width="8.7109375" style="101"/>
    <col min="2" max="3" width="14.5703125" style="101" customWidth="1"/>
    <col min="4" max="4" width="17.7109375" style="101" customWidth="1"/>
    <col min="5" max="5" width="18.140625" style="101" customWidth="1"/>
    <col min="6" max="6" width="15.5703125" style="101" bestFit="1" customWidth="1"/>
    <col min="7" max="7" width="12.7109375" style="101" bestFit="1" customWidth="1"/>
    <col min="8" max="8" width="23.28515625" style="101" bestFit="1" customWidth="1"/>
    <col min="9" max="9" width="24" style="101" bestFit="1" customWidth="1"/>
    <col min="10" max="10" width="8.7109375" style="101"/>
    <col min="11" max="11" width="8.7109375" style="100"/>
  </cols>
  <sheetData>
    <row r="1" spans="1:12" ht="19.899999999999999" customHeight="1">
      <c r="A1" s="154" t="s">
        <v>238</v>
      </c>
      <c r="B1" s="123"/>
      <c r="C1" s="123"/>
      <c r="D1" s="123"/>
      <c r="E1" s="123"/>
      <c r="F1" s="123"/>
      <c r="G1" s="123"/>
      <c r="H1" s="123"/>
      <c r="I1" s="123"/>
      <c r="J1" s="123"/>
      <c r="L1">
        <v>0</v>
      </c>
    </row>
    <row r="2" spans="1:12" ht="19.899999999999999" customHeight="1">
      <c r="A2" s="123" t="s">
        <v>237</v>
      </c>
      <c r="B2" s="123"/>
      <c r="C2" s="123"/>
      <c r="D2" s="123"/>
      <c r="E2" s="123"/>
      <c r="F2" s="123"/>
      <c r="G2" s="123"/>
      <c r="H2" s="123"/>
      <c r="I2" s="123"/>
      <c r="J2" s="123"/>
    </row>
    <row r="3" spans="1:12" ht="25.15" customHeight="1">
      <c r="A3" s="123"/>
      <c r="B3" s="123"/>
      <c r="C3" s="123"/>
      <c r="D3" s="123"/>
      <c r="E3" s="123"/>
      <c r="F3" s="123"/>
      <c r="G3" s="123"/>
      <c r="H3" s="123"/>
      <c r="I3" s="123"/>
      <c r="J3" s="123"/>
    </row>
    <row r="4" spans="1:12" ht="19.899999999999999" customHeight="1">
      <c r="A4" s="124" t="s">
        <v>236</v>
      </c>
      <c r="B4" s="153"/>
      <c r="C4" s="153"/>
      <c r="D4" s="153"/>
      <c r="E4" s="153"/>
      <c r="F4" s="153"/>
      <c r="G4" s="153"/>
      <c r="H4" s="153"/>
      <c r="I4" s="153"/>
      <c r="J4" s="153"/>
    </row>
    <row r="5" spans="1:12" ht="20.65" customHeight="1">
      <c r="A5" s="124" t="s">
        <v>235</v>
      </c>
      <c r="B5" s="136"/>
      <c r="C5" s="136"/>
      <c r="D5" s="152"/>
      <c r="E5" s="124"/>
      <c r="F5" s="124"/>
      <c r="G5" s="124"/>
      <c r="H5" s="124"/>
      <c r="I5" s="124"/>
      <c r="J5" s="124"/>
    </row>
    <row r="6" spans="1:12">
      <c r="A6" s="137" t="s">
        <v>234</v>
      </c>
      <c r="B6" s="151"/>
      <c r="C6" s="151"/>
      <c r="D6" s="124"/>
      <c r="E6" s="124"/>
      <c r="F6" s="124"/>
      <c r="G6" s="124"/>
      <c r="H6" s="124"/>
      <c r="I6" s="124"/>
      <c r="J6" s="124"/>
    </row>
    <row r="7" spans="1:12">
      <c r="A7" s="124" t="s">
        <v>233</v>
      </c>
      <c r="B7" s="150"/>
      <c r="C7" s="150"/>
      <c r="D7" s="138"/>
      <c r="E7" s="124"/>
      <c r="F7" s="124"/>
      <c r="G7" s="124"/>
      <c r="H7" s="124"/>
      <c r="I7" s="124"/>
      <c r="J7" s="124"/>
    </row>
    <row r="8" spans="1:12">
      <c r="A8" s="124"/>
      <c r="B8" s="149"/>
      <c r="C8" s="149"/>
      <c r="D8" s="149"/>
      <c r="E8" s="124"/>
      <c r="F8" s="124"/>
      <c r="G8" s="124"/>
      <c r="H8" s="124"/>
      <c r="I8" s="124"/>
      <c r="J8" s="124"/>
    </row>
    <row r="9" spans="1:12" ht="31.5">
      <c r="A9" s="124"/>
      <c r="B9" s="142" t="s">
        <v>232</v>
      </c>
      <c r="C9" s="148" t="s">
        <v>231</v>
      </c>
      <c r="D9" s="147" t="s">
        <v>230</v>
      </c>
      <c r="E9" s="146"/>
      <c r="F9" s="124"/>
      <c r="G9" s="124"/>
      <c r="H9" s="124"/>
      <c r="I9" s="124"/>
      <c r="J9" s="124"/>
    </row>
    <row r="10" spans="1:12">
      <c r="A10" s="124"/>
      <c r="B10" s="145" t="s">
        <v>190</v>
      </c>
      <c r="C10" s="145" t="s">
        <v>229</v>
      </c>
      <c r="D10" s="144">
        <v>500</v>
      </c>
      <c r="E10" s="143"/>
      <c r="F10" s="124"/>
      <c r="G10" s="124"/>
      <c r="H10" s="124"/>
      <c r="I10" s="124"/>
      <c r="J10" s="124"/>
    </row>
    <row r="11" spans="1:12">
      <c r="A11" s="124"/>
      <c r="B11" s="145" t="s">
        <v>189</v>
      </c>
      <c r="C11" s="145" t="s">
        <v>228</v>
      </c>
      <c r="D11" s="144">
        <v>600</v>
      </c>
      <c r="E11" s="143"/>
      <c r="F11" s="124"/>
      <c r="G11" s="124"/>
      <c r="H11" s="124"/>
      <c r="I11" s="124"/>
      <c r="J11" s="124"/>
    </row>
    <row r="12" spans="1:12">
      <c r="A12" s="124"/>
      <c r="B12" s="145" t="s">
        <v>188</v>
      </c>
      <c r="C12" s="145" t="s">
        <v>227</v>
      </c>
      <c r="D12" s="144">
        <v>800</v>
      </c>
      <c r="E12" s="143"/>
      <c r="F12" s="124"/>
      <c r="G12" s="124"/>
      <c r="H12" s="124"/>
      <c r="I12" s="124"/>
      <c r="J12" s="124"/>
    </row>
    <row r="13" spans="1:12">
      <c r="A13" s="124"/>
      <c r="B13" s="142"/>
      <c r="C13" s="142"/>
      <c r="D13" s="141"/>
      <c r="E13" s="124"/>
      <c r="F13" s="124"/>
      <c r="G13" s="124"/>
      <c r="H13" s="124"/>
      <c r="I13" s="124"/>
      <c r="J13" s="124"/>
    </row>
    <row r="14" spans="1:12">
      <c r="A14" s="124" t="s">
        <v>226</v>
      </c>
      <c r="B14" s="140"/>
      <c r="C14" s="140"/>
      <c r="D14" s="138"/>
      <c r="E14" s="124"/>
      <c r="F14" s="124"/>
      <c r="G14" s="124"/>
      <c r="H14" s="124"/>
      <c r="I14" s="124"/>
      <c r="J14" s="124"/>
    </row>
    <row r="15" spans="1:12">
      <c r="A15" s="124" t="s">
        <v>225</v>
      </c>
      <c r="B15" s="136"/>
      <c r="C15" s="136"/>
      <c r="D15" s="136"/>
      <c r="E15" s="124"/>
      <c r="F15" s="124"/>
      <c r="G15" s="124"/>
      <c r="H15" s="124"/>
      <c r="I15" s="124"/>
      <c r="J15" s="124"/>
    </row>
    <row r="16" spans="1:12">
      <c r="A16" s="137" t="s">
        <v>224</v>
      </c>
      <c r="B16" s="139"/>
      <c r="C16" s="139"/>
      <c r="D16" s="139"/>
      <c r="E16" s="124"/>
      <c r="F16" s="124"/>
      <c r="G16" s="124"/>
      <c r="H16" s="124"/>
      <c r="I16" s="124"/>
      <c r="J16" s="124"/>
    </row>
    <row r="17" spans="1:10" ht="29.65" customHeight="1">
      <c r="A17" s="137"/>
      <c r="B17" s="139"/>
      <c r="C17" s="139"/>
      <c r="D17" s="139"/>
      <c r="E17" s="124"/>
      <c r="F17" s="124"/>
      <c r="G17" s="124"/>
      <c r="H17" s="124"/>
      <c r="I17" s="124"/>
      <c r="J17" s="124"/>
    </row>
    <row r="18" spans="1:10" ht="31.5">
      <c r="A18" s="137"/>
      <c r="B18" s="122" t="s">
        <v>204</v>
      </c>
      <c r="C18" s="122" t="s">
        <v>203</v>
      </c>
      <c r="D18" s="122" t="s">
        <v>202</v>
      </c>
      <c r="E18" s="121" t="s">
        <v>201</v>
      </c>
      <c r="F18" s="124"/>
      <c r="G18" s="124"/>
      <c r="H18" s="124"/>
      <c r="I18" s="124"/>
      <c r="J18" s="124"/>
    </row>
    <row r="19" spans="1:10">
      <c r="A19" s="137"/>
      <c r="B19" s="117">
        <v>1</v>
      </c>
      <c r="C19" s="119">
        <v>500</v>
      </c>
      <c r="D19" s="120">
        <v>0.4</v>
      </c>
      <c r="E19" s="117" t="s">
        <v>190</v>
      </c>
      <c r="F19" s="124"/>
      <c r="G19" s="124"/>
      <c r="H19" s="124"/>
      <c r="I19" s="124"/>
      <c r="J19" s="124"/>
    </row>
    <row r="20" spans="1:10">
      <c r="A20" s="138"/>
      <c r="B20" s="117">
        <v>2</v>
      </c>
      <c r="C20" s="119">
        <v>200</v>
      </c>
      <c r="D20" s="120">
        <v>0.7</v>
      </c>
      <c r="E20" s="117" t="s">
        <v>189</v>
      </c>
      <c r="F20" s="124"/>
      <c r="G20" s="124"/>
      <c r="H20" s="124"/>
      <c r="I20" s="124"/>
      <c r="J20" s="124"/>
    </row>
    <row r="21" spans="1:10">
      <c r="A21" s="138"/>
      <c r="B21" s="117">
        <v>3</v>
      </c>
      <c r="C21" s="119">
        <v>300</v>
      </c>
      <c r="D21" s="120">
        <v>1</v>
      </c>
      <c r="E21" s="117" t="s">
        <v>189</v>
      </c>
      <c r="F21" s="124"/>
      <c r="G21" s="124"/>
      <c r="H21" s="124"/>
      <c r="I21" s="124"/>
      <c r="J21" s="124"/>
    </row>
    <row r="22" spans="1:10">
      <c r="A22" s="137"/>
      <c r="B22" s="117">
        <v>4</v>
      </c>
      <c r="C22" s="119">
        <v>100</v>
      </c>
      <c r="D22" s="120">
        <v>1.5</v>
      </c>
      <c r="E22" s="117" t="s">
        <v>188</v>
      </c>
      <c r="F22" s="124"/>
      <c r="G22" s="124"/>
      <c r="H22" s="124"/>
      <c r="I22" s="124"/>
      <c r="J22" s="124"/>
    </row>
    <row r="23" spans="1:10">
      <c r="A23" s="136"/>
      <c r="B23" s="117">
        <v>5</v>
      </c>
      <c r="C23" s="119">
        <v>200</v>
      </c>
      <c r="D23" s="118">
        <v>3</v>
      </c>
      <c r="E23" s="117" t="s">
        <v>188</v>
      </c>
      <c r="F23" s="124"/>
      <c r="G23" s="124"/>
      <c r="H23" s="124"/>
      <c r="I23" s="124"/>
      <c r="J23" s="124"/>
    </row>
    <row r="24" spans="1:10">
      <c r="A24" s="124"/>
      <c r="B24" s="117">
        <v>6</v>
      </c>
      <c r="C24" s="119">
        <v>500</v>
      </c>
      <c r="D24" s="135" t="s">
        <v>199</v>
      </c>
      <c r="E24" s="117" t="s">
        <v>198</v>
      </c>
      <c r="F24" s="124"/>
      <c r="G24" s="124"/>
      <c r="H24" s="124"/>
      <c r="I24" s="124"/>
      <c r="J24" s="124"/>
    </row>
    <row r="25" spans="1:10">
      <c r="A25" s="134"/>
      <c r="B25" s="124"/>
      <c r="C25" s="124"/>
      <c r="D25" s="124"/>
      <c r="E25" s="124"/>
      <c r="F25" s="124"/>
      <c r="G25" s="124"/>
      <c r="H25" s="124"/>
      <c r="I25" s="124"/>
      <c r="J25" s="124"/>
    </row>
    <row r="26" spans="1:10">
      <c r="A26" s="125" t="s">
        <v>223</v>
      </c>
      <c r="B26" s="124"/>
      <c r="C26" s="124"/>
      <c r="D26" s="124"/>
      <c r="E26" s="124"/>
      <c r="F26" s="124"/>
      <c r="G26" s="124"/>
      <c r="H26" s="124"/>
      <c r="I26" s="124"/>
      <c r="J26" s="124"/>
    </row>
    <row r="27" spans="1:10">
      <c r="A27" s="133"/>
      <c r="B27" s="124"/>
      <c r="C27" s="124"/>
      <c r="D27" s="124"/>
      <c r="E27" s="124"/>
      <c r="F27" s="124"/>
      <c r="G27" s="124"/>
      <c r="H27" s="124"/>
      <c r="I27" s="124"/>
      <c r="J27" s="124"/>
    </row>
    <row r="28" spans="1:10">
      <c r="A28" s="125" t="s">
        <v>222</v>
      </c>
      <c r="B28" s="124"/>
      <c r="C28" s="124"/>
      <c r="D28" s="124"/>
      <c r="E28" s="124"/>
      <c r="F28" s="124"/>
      <c r="G28" s="124"/>
      <c r="H28" s="124"/>
      <c r="I28" s="124"/>
      <c r="J28" s="124"/>
    </row>
    <row r="29" spans="1:10">
      <c r="A29" s="133"/>
      <c r="B29" s="124"/>
      <c r="C29" s="124"/>
      <c r="D29" s="124"/>
      <c r="E29" s="124"/>
      <c r="F29" s="124"/>
      <c r="G29" s="124"/>
      <c r="H29" s="124"/>
      <c r="I29" s="124"/>
      <c r="J29" s="124"/>
    </row>
    <row r="30" spans="1:10">
      <c r="A30" s="125" t="s">
        <v>221</v>
      </c>
      <c r="B30" s="124"/>
      <c r="C30" s="124"/>
      <c r="D30" s="124"/>
      <c r="E30" s="124"/>
      <c r="F30" s="124"/>
      <c r="G30" s="124"/>
      <c r="H30" s="124"/>
      <c r="I30" s="124"/>
      <c r="J30" s="124"/>
    </row>
    <row r="31" spans="1:10">
      <c r="A31" s="125" t="s">
        <v>220</v>
      </c>
      <c r="B31" s="124"/>
      <c r="C31" s="124"/>
      <c r="D31" s="124"/>
      <c r="E31" s="124"/>
      <c r="F31" s="124"/>
      <c r="G31" s="124"/>
      <c r="H31" s="124"/>
      <c r="I31" s="124"/>
      <c r="J31" s="124"/>
    </row>
    <row r="32" spans="1:10">
      <c r="A32" s="125" t="s">
        <v>219</v>
      </c>
      <c r="B32" s="124"/>
      <c r="C32" s="124"/>
      <c r="D32" s="124"/>
      <c r="E32" s="124"/>
      <c r="F32" s="124"/>
      <c r="G32" s="124"/>
      <c r="H32" s="124"/>
      <c r="I32" s="124"/>
      <c r="J32" s="124"/>
    </row>
    <row r="33" spans="1:10">
      <c r="A33" s="125" t="s">
        <v>218</v>
      </c>
      <c r="B33" s="124"/>
      <c r="C33" s="124"/>
      <c r="D33" s="124"/>
      <c r="E33" s="124"/>
      <c r="F33" s="124"/>
      <c r="G33" s="124"/>
      <c r="H33" s="124"/>
      <c r="I33" s="124"/>
      <c r="J33" s="124"/>
    </row>
    <row r="34" spans="1:10">
      <c r="A34" s="125" t="s">
        <v>217</v>
      </c>
      <c r="B34" s="124"/>
      <c r="C34" s="124"/>
      <c r="D34" s="124"/>
      <c r="E34" s="124"/>
      <c r="F34" s="124"/>
      <c r="G34" s="124"/>
      <c r="H34" s="124"/>
      <c r="I34" s="124"/>
      <c r="J34" s="124"/>
    </row>
    <row r="35" spans="1:10">
      <c r="A35" s="125"/>
      <c r="B35" s="124"/>
      <c r="C35" s="124"/>
      <c r="D35" s="124"/>
      <c r="E35" s="124"/>
      <c r="F35" s="124"/>
      <c r="G35" s="124"/>
      <c r="H35" s="124"/>
      <c r="I35" s="124"/>
      <c r="J35" s="124"/>
    </row>
    <row r="36" spans="1:10">
      <c r="A36" s="125" t="s">
        <v>216</v>
      </c>
      <c r="B36" s="124"/>
      <c r="C36" s="124"/>
      <c r="D36" s="124"/>
      <c r="E36" s="124"/>
      <c r="F36" s="124"/>
      <c r="G36" s="124"/>
      <c r="H36" s="124"/>
      <c r="I36" s="124"/>
      <c r="J36" s="124"/>
    </row>
    <row r="37" spans="1:10">
      <c r="A37" s="125" t="s">
        <v>215</v>
      </c>
      <c r="B37" s="124"/>
      <c r="C37" s="124"/>
      <c r="D37" s="124"/>
      <c r="E37" s="124"/>
      <c r="F37" s="124"/>
      <c r="G37" s="124"/>
      <c r="H37" s="124"/>
      <c r="I37" s="124"/>
      <c r="J37" s="124"/>
    </row>
    <row r="38" spans="1:10">
      <c r="A38" s="125" t="s">
        <v>214</v>
      </c>
      <c r="B38" s="124"/>
      <c r="C38" s="124"/>
      <c r="D38" s="124"/>
      <c r="E38" s="124"/>
      <c r="F38" s="124"/>
      <c r="G38" s="124"/>
      <c r="H38" s="124"/>
      <c r="I38" s="124"/>
      <c r="J38" s="124"/>
    </row>
    <row r="39" spans="1:10">
      <c r="A39" s="125" t="s">
        <v>213</v>
      </c>
      <c r="B39" s="124"/>
      <c r="C39" s="124"/>
      <c r="D39" s="124"/>
      <c r="E39" s="124"/>
      <c r="F39" s="124"/>
      <c r="G39" s="124"/>
      <c r="H39" s="124"/>
      <c r="I39" s="124"/>
      <c r="J39" s="124"/>
    </row>
    <row r="40" spans="1:10">
      <c r="A40" s="125" t="s">
        <v>212</v>
      </c>
      <c r="B40" s="124"/>
      <c r="C40" s="124"/>
      <c r="D40" s="124"/>
      <c r="E40" s="124"/>
      <c r="F40" s="124"/>
      <c r="G40" s="124"/>
      <c r="H40" s="124"/>
      <c r="I40" s="124"/>
      <c r="J40" s="124"/>
    </row>
    <row r="41" spans="1:10">
      <c r="A41" s="125"/>
      <c r="B41" s="124"/>
      <c r="C41" s="124"/>
      <c r="D41" s="124"/>
      <c r="E41" s="124"/>
      <c r="F41" s="124"/>
      <c r="G41" s="124"/>
      <c r="H41" s="124"/>
      <c r="I41" s="124"/>
      <c r="J41" s="124"/>
    </row>
    <row r="42" spans="1:10">
      <c r="A42" s="126" t="s">
        <v>211</v>
      </c>
      <c r="B42" s="124" t="s">
        <v>210</v>
      </c>
      <c r="C42" s="124"/>
      <c r="D42" s="124"/>
      <c r="E42" s="124"/>
      <c r="F42" s="124"/>
      <c r="G42" s="124"/>
      <c r="H42" s="124"/>
      <c r="I42" s="124"/>
      <c r="J42" s="124"/>
    </row>
    <row r="43" spans="1:10">
      <c r="A43" s="126" t="s">
        <v>209</v>
      </c>
      <c r="B43" s="124"/>
      <c r="C43" s="124"/>
      <c r="D43" s="124"/>
      <c r="E43" s="124"/>
      <c r="F43" s="124"/>
      <c r="G43" s="124"/>
      <c r="H43" s="124"/>
      <c r="I43" s="124"/>
      <c r="J43" s="124"/>
    </row>
    <row r="44" spans="1:10">
      <c r="A44" s="125"/>
      <c r="B44" s="124"/>
      <c r="C44" s="124"/>
      <c r="D44" s="124"/>
      <c r="E44" s="124"/>
      <c r="F44" s="124"/>
      <c r="G44" s="124"/>
      <c r="H44" s="124"/>
      <c r="I44" s="124"/>
      <c r="J44" s="124"/>
    </row>
    <row r="45" spans="1:10">
      <c r="A45" t="s">
        <v>205</v>
      </c>
    </row>
    <row r="46" spans="1:10" ht="31.5">
      <c r="B46" s="122" t="s">
        <v>204</v>
      </c>
      <c r="C46" s="122" t="s">
        <v>203</v>
      </c>
      <c r="D46" s="122" t="s">
        <v>202</v>
      </c>
      <c r="E46" s="121" t="s">
        <v>201</v>
      </c>
      <c r="F46" s="113" t="s">
        <v>200</v>
      </c>
      <c r="G46" s="113"/>
      <c r="H46" s="113"/>
    </row>
    <row r="47" spans="1:10">
      <c r="B47" s="117">
        <v>1</v>
      </c>
      <c r="C47" s="119">
        <v>500</v>
      </c>
      <c r="D47" s="120">
        <v>0.4</v>
      </c>
      <c r="E47" s="117" t="s">
        <v>190</v>
      </c>
      <c r="F47" s="113" t="s">
        <v>190</v>
      </c>
      <c r="G47" s="113"/>
      <c r="H47" s="131"/>
      <c r="I47" s="113"/>
    </row>
    <row r="48" spans="1:10">
      <c r="B48" s="117">
        <v>2</v>
      </c>
      <c r="C48" s="119">
        <v>200</v>
      </c>
      <c r="D48" s="120">
        <v>0.7</v>
      </c>
      <c r="E48" s="117" t="s">
        <v>189</v>
      </c>
      <c r="F48" s="113" t="s">
        <v>190</v>
      </c>
      <c r="G48" s="113"/>
      <c r="H48" s="131"/>
      <c r="I48" s="113"/>
    </row>
    <row r="49" spans="1:10">
      <c r="B49" s="117">
        <v>3</v>
      </c>
      <c r="C49" s="119">
        <v>300</v>
      </c>
      <c r="D49" s="120">
        <v>1</v>
      </c>
      <c r="E49" s="117" t="s">
        <v>189</v>
      </c>
      <c r="F49" s="113" t="s">
        <v>189</v>
      </c>
      <c r="G49" s="113"/>
      <c r="H49" s="131"/>
      <c r="I49" s="113"/>
    </row>
    <row r="50" spans="1:10">
      <c r="B50" s="117">
        <v>4</v>
      </c>
      <c r="C50" s="119">
        <v>100</v>
      </c>
      <c r="D50" s="120">
        <v>1.5</v>
      </c>
      <c r="E50" s="117" t="s">
        <v>188</v>
      </c>
      <c r="F50" s="113" t="s">
        <v>189</v>
      </c>
      <c r="G50" s="113"/>
      <c r="H50" s="131"/>
      <c r="I50" s="113"/>
    </row>
    <row r="51" spans="1:10">
      <c r="B51" s="117">
        <v>5</v>
      </c>
      <c r="C51" s="119">
        <v>200</v>
      </c>
      <c r="D51" s="118">
        <v>3</v>
      </c>
      <c r="E51" s="117" t="s">
        <v>188</v>
      </c>
      <c r="F51" s="113" t="s">
        <v>188</v>
      </c>
      <c r="G51" s="113"/>
      <c r="H51" s="131"/>
      <c r="I51" s="113"/>
    </row>
    <row r="52" spans="1:10">
      <c r="B52" s="117">
        <v>6</v>
      </c>
      <c r="C52" s="119">
        <v>250</v>
      </c>
      <c r="D52" s="132">
        <f>(D57*950-SUMPRODUCT(C47:C48,D47:D48))/250</f>
        <v>0.34000000000000091</v>
      </c>
      <c r="E52" s="117" t="s">
        <v>198</v>
      </c>
      <c r="F52" s="113" t="s">
        <v>190</v>
      </c>
      <c r="G52" s="113"/>
      <c r="H52" s="131"/>
      <c r="I52" s="113"/>
    </row>
    <row r="53" spans="1:10">
      <c r="B53" s="117">
        <v>6</v>
      </c>
      <c r="C53" s="119">
        <v>250</v>
      </c>
      <c r="D53" s="118" t="s">
        <v>199</v>
      </c>
      <c r="E53" s="117" t="s">
        <v>198</v>
      </c>
      <c r="F53" s="113" t="s">
        <v>198</v>
      </c>
    </row>
    <row r="54" spans="1:10">
      <c r="F54" s="113"/>
    </row>
    <row r="55" spans="1:10">
      <c r="C55" s="101" t="s">
        <v>197</v>
      </c>
    </row>
    <row r="56" spans="1:10">
      <c r="B56" s="101" t="s">
        <v>196</v>
      </c>
      <c r="C56" s="101" t="s">
        <v>195</v>
      </c>
      <c r="D56" s="101" t="s">
        <v>194</v>
      </c>
      <c r="E56" s="101" t="s">
        <v>193</v>
      </c>
      <c r="F56" s="101" t="s">
        <v>192</v>
      </c>
    </row>
    <row r="57" spans="1:10">
      <c r="B57" s="101" t="s">
        <v>190</v>
      </c>
      <c r="C57" s="101">
        <f>SUMIFS($C$47:$C$53,$F$47:$F$53,B57)</f>
        <v>950</v>
      </c>
      <c r="D57" s="112">
        <f>F57/E57</f>
        <v>0.4473684210526318</v>
      </c>
      <c r="E57" s="110">
        <f>D10*1.05*C57</f>
        <v>498750</v>
      </c>
      <c r="F57" s="110">
        <f>F60-SUM(F58:F59)</f>
        <v>223125.00000000012</v>
      </c>
      <c r="G57" s="110"/>
      <c r="I57" s="130"/>
      <c r="J57" s="127"/>
    </row>
    <row r="58" spans="1:10">
      <c r="B58" s="101" t="s">
        <v>189</v>
      </c>
      <c r="C58" s="101">
        <f>SUMIFS($C$47:$C$53,$F$47:$F$53,B58)</f>
        <v>400</v>
      </c>
      <c r="D58" s="112">
        <f>SUMPRODUCT(D49:D50,C49:C50)/SUM(C49:C50)</f>
        <v>1.125</v>
      </c>
      <c r="E58" s="110">
        <f>D11*1.05*C58</f>
        <v>252000</v>
      </c>
      <c r="F58" s="110">
        <f>E58*D58</f>
        <v>283500</v>
      </c>
      <c r="G58" s="107"/>
      <c r="H58" s="129"/>
    </row>
    <row r="59" spans="1:10">
      <c r="B59" s="101" t="s">
        <v>188</v>
      </c>
      <c r="C59" s="101">
        <f>SUMIFS($C$47:$C$53,$F$47:$F$53,B59)</f>
        <v>200</v>
      </c>
      <c r="D59" s="111">
        <f>D51</f>
        <v>3</v>
      </c>
      <c r="E59" s="110">
        <f>D12*1.05*C59</f>
        <v>168000</v>
      </c>
      <c r="F59" s="110">
        <f>E59*D59</f>
        <v>504000</v>
      </c>
      <c r="G59" s="107"/>
      <c r="H59" s="129"/>
      <c r="I59" s="128"/>
      <c r="J59" s="127"/>
    </row>
    <row r="60" spans="1:10">
      <c r="B60" s="108" t="s">
        <v>140</v>
      </c>
      <c r="C60" s="105">
        <f>SUM(C57:C59)</f>
        <v>1550</v>
      </c>
      <c r="D60" s="107"/>
      <c r="E60" s="106">
        <f>SUM(E57:E59)</f>
        <v>918750</v>
      </c>
      <c r="F60" s="105">
        <f>E60*(1+F61)</f>
        <v>1010625.0000000001</v>
      </c>
      <c r="G60" s="104"/>
      <c r="H60" s="104"/>
    </row>
    <row r="61" spans="1:10">
      <c r="E61" s="103" t="s">
        <v>187</v>
      </c>
      <c r="F61" s="107">
        <v>0.1</v>
      </c>
    </row>
    <row r="62" spans="1:10">
      <c r="F62" s="113"/>
    </row>
    <row r="63" spans="1:10">
      <c r="A63" s="126" t="s">
        <v>208</v>
      </c>
      <c r="B63" s="124" t="s">
        <v>207</v>
      </c>
      <c r="C63" s="124"/>
      <c r="D63" s="124"/>
      <c r="E63" s="124"/>
      <c r="F63" s="124"/>
      <c r="G63" s="124"/>
      <c r="H63" s="123"/>
      <c r="I63" s="123"/>
      <c r="J63" s="123"/>
    </row>
    <row r="64" spans="1:10">
      <c r="A64" s="125" t="s">
        <v>206</v>
      </c>
      <c r="B64" s="124"/>
      <c r="C64" s="124"/>
      <c r="D64" s="124"/>
      <c r="E64" s="124"/>
      <c r="F64" s="124"/>
      <c r="G64" s="124"/>
      <c r="H64" s="123"/>
      <c r="I64" s="123"/>
      <c r="J64" s="123"/>
    </row>
    <row r="65" spans="1:10">
      <c r="A65" s="123"/>
      <c r="B65" s="123"/>
      <c r="C65" s="123"/>
      <c r="D65" s="123"/>
      <c r="E65" s="123"/>
      <c r="F65" s="123"/>
      <c r="G65" s="123"/>
      <c r="H65" s="123"/>
      <c r="I65" s="123"/>
      <c r="J65" s="123"/>
    </row>
    <row r="66" spans="1:10">
      <c r="A66" t="s">
        <v>205</v>
      </c>
    </row>
    <row r="67" spans="1:10" ht="31.5">
      <c r="B67" s="122" t="s">
        <v>204</v>
      </c>
      <c r="C67" s="122" t="s">
        <v>203</v>
      </c>
      <c r="D67" s="122" t="s">
        <v>202</v>
      </c>
      <c r="E67" s="121" t="s">
        <v>201</v>
      </c>
      <c r="F67" s="113" t="s">
        <v>200</v>
      </c>
    </row>
    <row r="68" spans="1:10">
      <c r="B68" s="117">
        <v>1</v>
      </c>
      <c r="C68" s="119">
        <v>250</v>
      </c>
      <c r="D68" s="120">
        <v>0.4</v>
      </c>
      <c r="E68" s="117" t="s">
        <v>190</v>
      </c>
      <c r="F68" s="113" t="str">
        <f>E68</f>
        <v>A</v>
      </c>
    </row>
    <row r="69" spans="1:10">
      <c r="B69" s="117">
        <v>1</v>
      </c>
      <c r="C69" s="119">
        <v>250</v>
      </c>
      <c r="D69" s="120">
        <v>0.4</v>
      </c>
      <c r="E69" s="117" t="s">
        <v>190</v>
      </c>
      <c r="F69" s="113" t="s">
        <v>191</v>
      </c>
    </row>
    <row r="70" spans="1:10">
      <c r="B70" s="117">
        <v>2</v>
      </c>
      <c r="C70" s="119">
        <v>200</v>
      </c>
      <c r="D70" s="120">
        <v>0.7</v>
      </c>
      <c r="E70" s="117" t="s">
        <v>189</v>
      </c>
      <c r="F70" s="113" t="str">
        <f>E70</f>
        <v>B</v>
      </c>
    </row>
    <row r="71" spans="1:10">
      <c r="B71" s="117">
        <v>3</v>
      </c>
      <c r="C71" s="119">
        <v>300</v>
      </c>
      <c r="D71" s="120">
        <v>1</v>
      </c>
      <c r="E71" s="117" t="s">
        <v>189</v>
      </c>
      <c r="F71" s="113" t="str">
        <f>E71</f>
        <v>B</v>
      </c>
    </row>
    <row r="72" spans="1:10">
      <c r="B72" s="117">
        <v>4</v>
      </c>
      <c r="C72" s="119">
        <v>100</v>
      </c>
      <c r="D72" s="120">
        <v>1.5</v>
      </c>
      <c r="E72" s="117" t="s">
        <v>188</v>
      </c>
      <c r="F72" s="113" t="str">
        <f>E72</f>
        <v>C</v>
      </c>
    </row>
    <row r="73" spans="1:10">
      <c r="B73" s="117">
        <v>5</v>
      </c>
      <c r="C73" s="119">
        <v>200</v>
      </c>
      <c r="D73" s="118">
        <v>3</v>
      </c>
      <c r="E73" s="117" t="s">
        <v>188</v>
      </c>
      <c r="F73" s="113" t="str">
        <f>E73</f>
        <v>C</v>
      </c>
    </row>
    <row r="74" spans="1:10">
      <c r="B74" s="117">
        <v>6</v>
      </c>
      <c r="C74" s="119">
        <v>250</v>
      </c>
      <c r="D74" s="118">
        <f>D52</f>
        <v>0.34000000000000091</v>
      </c>
      <c r="E74" s="117" t="s">
        <v>198</v>
      </c>
      <c r="F74" s="113" t="s">
        <v>191</v>
      </c>
    </row>
    <row r="75" spans="1:10">
      <c r="B75" s="117">
        <v>6</v>
      </c>
      <c r="C75" s="119">
        <v>250</v>
      </c>
      <c r="D75" s="118" t="s">
        <v>199</v>
      </c>
      <c r="E75" s="117" t="s">
        <v>198</v>
      </c>
      <c r="F75" s="113" t="s">
        <v>198</v>
      </c>
    </row>
    <row r="76" spans="1:10">
      <c r="B76" s="114"/>
      <c r="C76" s="116"/>
      <c r="D76" s="115"/>
      <c r="E76" s="114"/>
      <c r="F76" s="113"/>
    </row>
    <row r="77" spans="1:10">
      <c r="C77" s="101" t="s">
        <v>197</v>
      </c>
    </row>
    <row r="78" spans="1:10">
      <c r="B78" s="101" t="s">
        <v>196</v>
      </c>
      <c r="C78" s="101" t="s">
        <v>195</v>
      </c>
      <c r="D78" s="101" t="s">
        <v>194</v>
      </c>
      <c r="E78" s="101" t="s">
        <v>193</v>
      </c>
      <c r="F78" s="101" t="s">
        <v>192</v>
      </c>
    </row>
    <row r="79" spans="1:10">
      <c r="B79" s="101" t="s">
        <v>191</v>
      </c>
      <c r="C79" s="101">
        <f>SUMIFS($C$68:$C$75,$F$68:$F$75,B79)</f>
        <v>500</v>
      </c>
      <c r="D79" s="112">
        <f>(C74*D74+C69*D69)/SUM(C69,C74)</f>
        <v>0.37000000000000044</v>
      </c>
      <c r="E79" s="110">
        <f>450*C79</f>
        <v>225000</v>
      </c>
      <c r="F79" s="109">
        <f>E79*D79</f>
        <v>83250.000000000102</v>
      </c>
    </row>
    <row r="80" spans="1:10">
      <c r="B80" s="101" t="s">
        <v>190</v>
      </c>
      <c r="C80" s="101">
        <f>SUMIFS($C$68:$C$75,$F$68:$F$75,B80)</f>
        <v>250</v>
      </c>
      <c r="D80" s="112">
        <f>D68</f>
        <v>0.4</v>
      </c>
      <c r="E80" s="110">
        <f>D10*1.05*C80</f>
        <v>131250</v>
      </c>
      <c r="F80" s="109">
        <f>E80*D80</f>
        <v>52500</v>
      </c>
    </row>
    <row r="81" spans="2:8">
      <c r="B81" s="101" t="s">
        <v>189</v>
      </c>
      <c r="C81" s="101">
        <f>SUMIFS($C$68:$C$75,$F$68:$F$75,B81)</f>
        <v>500</v>
      </c>
      <c r="D81" s="112">
        <f>SUMPRODUCT(D70:D71,C70:C71)/SUM(C70:C71)</f>
        <v>0.88</v>
      </c>
      <c r="E81" s="110">
        <f>D11*1.05*C81</f>
        <v>315000</v>
      </c>
      <c r="F81" s="109">
        <f>E81*D81</f>
        <v>277200</v>
      </c>
    </row>
    <row r="82" spans="2:8">
      <c r="B82" s="101" t="s">
        <v>188</v>
      </c>
      <c r="C82" s="101">
        <f>SUMIFS($C$68:$C$75,$F$68:$F$75,B82)</f>
        <v>300</v>
      </c>
      <c r="D82" s="111">
        <f>SUMPRODUCT(D72:D73,C72:C73)/SUM(C72:C73)</f>
        <v>2.5</v>
      </c>
      <c r="E82" s="110">
        <f>D12*1.05*C82</f>
        <v>252000</v>
      </c>
      <c r="F82" s="109">
        <f>E82*D82</f>
        <v>630000</v>
      </c>
    </row>
    <row r="83" spans="2:8">
      <c r="B83" s="108" t="s">
        <v>140</v>
      </c>
      <c r="C83" s="105">
        <f>SUM(C79:C82)</f>
        <v>1550</v>
      </c>
      <c r="D83" s="107"/>
      <c r="E83" s="106">
        <f>SUM(E79:E82)</f>
        <v>923250</v>
      </c>
      <c r="F83" s="105">
        <f>SUM(F79:F82)</f>
        <v>1042950.0000000001</v>
      </c>
      <c r="G83" s="104"/>
      <c r="H83" s="104"/>
    </row>
    <row r="84" spans="2:8">
      <c r="E84" s="103" t="s">
        <v>187</v>
      </c>
      <c r="F84" s="102">
        <f>F83/E83-1</f>
        <v>0.12965069049553213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F2AB-6B68-4426-B68A-4468E96ED6C2}">
  <dimension ref="A1:K154"/>
  <sheetViews>
    <sheetView topLeftCell="A109" zoomScale="85" zoomScaleNormal="85" workbookViewId="0">
      <selection activeCell="P128" sqref="P128"/>
    </sheetView>
  </sheetViews>
  <sheetFormatPr defaultColWidth="8.7109375" defaultRowHeight="15.75"/>
  <cols>
    <col min="1" max="1" width="8.7109375" style="101"/>
    <col min="2" max="3" width="19.7109375" style="101" customWidth="1"/>
    <col min="4" max="4" width="14.7109375" style="101" customWidth="1"/>
    <col min="5" max="5" width="11.28515625" style="101" customWidth="1"/>
    <col min="6" max="6" width="22.42578125" style="101" customWidth="1"/>
    <col min="7" max="7" width="24.42578125" style="101" customWidth="1"/>
    <col min="8" max="9" width="27.28515625" style="101" customWidth="1"/>
    <col min="10" max="10" width="22.5703125" style="101" bestFit="1" customWidth="1"/>
    <col min="11" max="11" width="8.7109375" style="100"/>
  </cols>
  <sheetData>
    <row r="1" spans="1:10">
      <c r="A1" s="154" t="s">
        <v>284</v>
      </c>
      <c r="B1" s="123"/>
      <c r="C1" s="123"/>
      <c r="D1" s="123"/>
      <c r="E1" s="123"/>
      <c r="F1" s="123"/>
      <c r="G1" s="123"/>
      <c r="H1" s="123"/>
      <c r="I1" s="123"/>
      <c r="J1" s="123"/>
    </row>
    <row r="2" spans="1:10" ht="19.899999999999999" customHeight="1">
      <c r="A2" s="123" t="s">
        <v>283</v>
      </c>
      <c r="B2" s="123"/>
      <c r="C2" s="123"/>
      <c r="D2" s="123"/>
      <c r="E2" s="123"/>
      <c r="F2" s="123"/>
      <c r="G2" s="123"/>
      <c r="H2" s="123"/>
      <c r="I2" s="123"/>
      <c r="J2" s="123"/>
    </row>
    <row r="3" spans="1:10" ht="19.899999999999999" customHeight="1">
      <c r="A3" s="123"/>
      <c r="B3" s="123"/>
      <c r="C3" s="123"/>
      <c r="D3" s="123"/>
      <c r="E3" s="123"/>
      <c r="F3" s="123"/>
      <c r="G3" s="123"/>
      <c r="H3" s="123"/>
      <c r="I3" s="123"/>
      <c r="J3" s="123"/>
    </row>
    <row r="4" spans="1:10" ht="19.899999999999999" customHeight="1">
      <c r="A4" s="123" t="s">
        <v>211</v>
      </c>
      <c r="B4" s="123" t="s">
        <v>207</v>
      </c>
      <c r="C4" s="179"/>
      <c r="D4" s="179"/>
      <c r="E4" s="179"/>
      <c r="F4" s="179"/>
      <c r="G4" s="179"/>
      <c r="H4" s="179"/>
      <c r="I4" s="177"/>
      <c r="J4" s="123"/>
    </row>
    <row r="5" spans="1:10" ht="19.899999999999999" customHeight="1">
      <c r="A5" s="123" t="s">
        <v>282</v>
      </c>
      <c r="B5" s="123"/>
      <c r="C5" s="179"/>
      <c r="D5" s="179"/>
      <c r="E5" s="179"/>
      <c r="F5" s="179"/>
      <c r="G5" s="179"/>
      <c r="H5" s="179"/>
      <c r="I5" s="177"/>
      <c r="J5" s="123"/>
    </row>
    <row r="6" spans="1:10" ht="19.899999999999999" customHeight="1">
      <c r="A6" s="123"/>
      <c r="B6" s="123"/>
      <c r="C6" s="179"/>
      <c r="D6" s="179"/>
      <c r="E6" s="179"/>
      <c r="F6" s="179"/>
      <c r="G6" s="179"/>
      <c r="H6" s="179"/>
      <c r="I6" s="177"/>
      <c r="J6" s="123"/>
    </row>
    <row r="7" spans="1:10" ht="16.5" thickBot="1">
      <c r="A7" t="s">
        <v>205</v>
      </c>
    </row>
    <row r="8" spans="1:10" ht="16.5" thickBot="1">
      <c r="B8" s="221" t="s">
        <v>281</v>
      </c>
      <c r="C8" s="222"/>
      <c r="D8" s="222"/>
      <c r="E8" s="223"/>
      <c r="F8" s="224" t="s">
        <v>273</v>
      </c>
      <c r="G8" s="225"/>
      <c r="H8" s="226"/>
      <c r="I8" s="113"/>
    </row>
    <row r="9" spans="1:10" ht="48" customHeight="1">
      <c r="B9" s="227" t="s">
        <v>280</v>
      </c>
      <c r="C9" s="228"/>
      <c r="D9" s="228"/>
      <c r="E9" s="229"/>
      <c r="F9" s="230" t="s">
        <v>279</v>
      </c>
      <c r="G9" s="228"/>
      <c r="H9" s="231"/>
      <c r="I9" s="178"/>
    </row>
    <row r="10" spans="1:10" ht="48" customHeight="1">
      <c r="B10" s="210" t="s">
        <v>278</v>
      </c>
      <c r="C10" s="211"/>
      <c r="D10" s="211"/>
      <c r="E10" s="212"/>
      <c r="F10" s="213" t="s">
        <v>277</v>
      </c>
      <c r="G10" s="211"/>
      <c r="H10" s="214"/>
      <c r="I10" s="178"/>
    </row>
    <row r="11" spans="1:10" ht="48" customHeight="1" thickBot="1">
      <c r="B11" s="215" t="s">
        <v>276</v>
      </c>
      <c r="C11" s="216"/>
      <c r="D11" s="216"/>
      <c r="E11" s="217"/>
      <c r="F11" s="218" t="s">
        <v>275</v>
      </c>
      <c r="G11" s="216"/>
      <c r="H11" s="219"/>
      <c r="I11" s="178"/>
    </row>
    <row r="12" spans="1:10" ht="16.5" thickBot="1"/>
    <row r="13" spans="1:10" ht="16.5" thickBot="1">
      <c r="B13" s="221" t="s">
        <v>274</v>
      </c>
      <c r="C13" s="222"/>
      <c r="D13" s="222"/>
      <c r="E13" s="223"/>
      <c r="F13" s="224" t="s">
        <v>273</v>
      </c>
      <c r="G13" s="225"/>
      <c r="H13" s="226"/>
      <c r="I13" s="113"/>
    </row>
    <row r="14" spans="1:10" ht="85.5" customHeight="1">
      <c r="B14" s="227" t="s">
        <v>272</v>
      </c>
      <c r="C14" s="228"/>
      <c r="D14" s="228"/>
      <c r="E14" s="229"/>
      <c r="F14" s="230" t="s">
        <v>271</v>
      </c>
      <c r="G14" s="228"/>
      <c r="H14" s="231"/>
      <c r="I14" s="178"/>
    </row>
    <row r="15" spans="1:10" ht="66.75" customHeight="1">
      <c r="B15" s="210" t="s">
        <v>270</v>
      </c>
      <c r="C15" s="211"/>
      <c r="D15" s="211"/>
      <c r="E15" s="212"/>
      <c r="F15" s="213" t="s">
        <v>269</v>
      </c>
      <c r="G15" s="211"/>
      <c r="H15" s="214"/>
      <c r="I15" s="178"/>
    </row>
    <row r="16" spans="1:10" ht="72" customHeight="1" thickBot="1">
      <c r="B16" s="215" t="s">
        <v>268</v>
      </c>
      <c r="C16" s="216"/>
      <c r="D16" s="216"/>
      <c r="E16" s="217"/>
      <c r="F16" s="218" t="s">
        <v>267</v>
      </c>
      <c r="G16" s="216"/>
      <c r="H16" s="219"/>
      <c r="I16" s="178"/>
    </row>
    <row r="18" spans="1:10" ht="15.75" customHeight="1"/>
    <row r="19" spans="1:10" ht="19.5" customHeight="1">
      <c r="A19" s="123"/>
      <c r="B19" s="123"/>
      <c r="C19" s="123"/>
      <c r="D19" s="123"/>
      <c r="E19" s="123"/>
      <c r="F19" s="123"/>
      <c r="G19" s="123"/>
      <c r="H19" s="123"/>
      <c r="I19" s="123"/>
      <c r="J19" s="123"/>
    </row>
    <row r="20" spans="1:10">
      <c r="A20" s="123"/>
      <c r="B20" s="220" t="s">
        <v>266</v>
      </c>
      <c r="C20" s="220"/>
      <c r="D20" s="220"/>
      <c r="E20" s="220"/>
      <c r="F20" s="220"/>
      <c r="G20" s="220"/>
      <c r="H20" s="220"/>
      <c r="I20" s="177"/>
      <c r="J20" s="123"/>
    </row>
    <row r="21" spans="1:10">
      <c r="A21" s="123"/>
      <c r="B21" s="220"/>
      <c r="C21" s="220"/>
      <c r="D21" s="220"/>
      <c r="E21" s="220"/>
      <c r="F21" s="220"/>
      <c r="G21" s="220"/>
      <c r="H21" s="220"/>
      <c r="I21" s="177"/>
      <c r="J21" s="123"/>
    </row>
    <row r="22" spans="1:10">
      <c r="A22" s="123"/>
      <c r="B22" s="123"/>
      <c r="C22" s="123"/>
      <c r="D22" s="123"/>
      <c r="E22" s="123"/>
      <c r="F22" s="123"/>
      <c r="G22" s="123"/>
      <c r="H22" s="123"/>
      <c r="I22" s="123"/>
      <c r="J22" s="123"/>
    </row>
    <row r="23" spans="1:10">
      <c r="A23" s="123"/>
      <c r="B23" s="123" t="s">
        <v>235</v>
      </c>
      <c r="C23" s="123"/>
      <c r="D23" s="123"/>
      <c r="E23" s="123"/>
      <c r="F23" s="123"/>
      <c r="G23" s="123"/>
      <c r="H23" s="123"/>
      <c r="I23" s="123"/>
      <c r="J23" s="123"/>
    </row>
    <row r="24" spans="1:10">
      <c r="A24" s="123"/>
      <c r="B24" s="123"/>
      <c r="C24" s="123"/>
      <c r="D24" s="123"/>
      <c r="E24" s="123"/>
      <c r="F24" s="123"/>
      <c r="G24" s="123"/>
      <c r="H24" s="123"/>
      <c r="I24" s="123"/>
      <c r="J24" s="123"/>
    </row>
    <row r="25" spans="1:10">
      <c r="A25" s="123"/>
      <c r="B25" s="123" t="s">
        <v>265</v>
      </c>
      <c r="C25" s="123"/>
      <c r="D25" s="176">
        <v>3000</v>
      </c>
      <c r="E25" s="123"/>
      <c r="F25" s="123"/>
      <c r="G25" s="123"/>
      <c r="H25" s="123"/>
      <c r="I25" s="123"/>
      <c r="J25" s="123"/>
    </row>
    <row r="26" spans="1:10">
      <c r="A26" s="123"/>
      <c r="B26" s="123" t="s">
        <v>264</v>
      </c>
      <c r="C26" s="123"/>
      <c r="D26" s="175">
        <v>450</v>
      </c>
      <c r="E26" s="123"/>
      <c r="F26" s="123"/>
      <c r="G26" s="123"/>
      <c r="H26" s="123"/>
      <c r="I26" s="123"/>
      <c r="J26" s="123"/>
    </row>
    <row r="27" spans="1:10" ht="32.25" customHeight="1">
      <c r="A27" s="123"/>
      <c r="B27" s="123" t="s">
        <v>263</v>
      </c>
      <c r="C27" s="123"/>
      <c r="D27" s="175">
        <v>420</v>
      </c>
      <c r="E27" s="123"/>
      <c r="F27" s="123"/>
      <c r="G27" s="123"/>
      <c r="H27" s="123"/>
      <c r="I27" s="123"/>
      <c r="J27" s="123"/>
    </row>
    <row r="28" spans="1:10" ht="32.25" customHeight="1">
      <c r="A28" s="123"/>
      <c r="B28" s="123" t="s">
        <v>262</v>
      </c>
      <c r="C28" s="123"/>
      <c r="D28" s="175">
        <v>105</v>
      </c>
      <c r="E28" s="123" t="s">
        <v>259</v>
      </c>
      <c r="F28" s="176"/>
      <c r="G28" s="123"/>
      <c r="H28" s="123"/>
      <c r="I28" s="123"/>
      <c r="J28" s="123"/>
    </row>
    <row r="29" spans="1:10">
      <c r="A29" s="123"/>
      <c r="B29" s="123" t="s">
        <v>261</v>
      </c>
      <c r="C29" s="123"/>
      <c r="D29" s="175">
        <v>295</v>
      </c>
      <c r="E29" s="123"/>
      <c r="F29" s="123"/>
      <c r="G29" s="123"/>
      <c r="H29" s="123"/>
      <c r="I29" s="123"/>
      <c r="J29" s="123"/>
    </row>
    <row r="30" spans="1:10">
      <c r="A30" s="123"/>
      <c r="B30" s="123" t="s">
        <v>260</v>
      </c>
      <c r="C30" s="123"/>
      <c r="D30" s="175">
        <v>85</v>
      </c>
      <c r="E30" s="123" t="s">
        <v>259</v>
      </c>
      <c r="F30" s="123"/>
      <c r="G30" s="123"/>
      <c r="H30" s="123"/>
      <c r="I30" s="123"/>
      <c r="J30" s="123"/>
    </row>
    <row r="31" spans="1:10">
      <c r="A31" s="123"/>
      <c r="B31" s="123" t="s">
        <v>258</v>
      </c>
      <c r="C31" s="123"/>
      <c r="D31" s="123"/>
      <c r="E31" s="123"/>
      <c r="F31" s="123"/>
      <c r="G31" s="123"/>
      <c r="H31" s="123"/>
      <c r="I31" s="123"/>
      <c r="J31" s="123"/>
    </row>
    <row r="32" spans="1:10">
      <c r="A32" s="123"/>
      <c r="B32" s="123" t="s">
        <v>257</v>
      </c>
      <c r="C32" s="123"/>
      <c r="D32" s="123"/>
      <c r="E32" s="123"/>
      <c r="F32" s="123"/>
      <c r="G32" s="123"/>
      <c r="H32" s="123"/>
      <c r="I32" s="123"/>
      <c r="J32" s="123"/>
    </row>
    <row r="33" spans="1:10">
      <c r="A33" s="123"/>
      <c r="B33" s="123"/>
      <c r="C33" s="123"/>
      <c r="D33" s="123"/>
      <c r="E33" s="123"/>
      <c r="F33" s="123"/>
      <c r="G33" s="123"/>
      <c r="H33" s="123"/>
      <c r="I33" s="123"/>
      <c r="J33" s="123"/>
    </row>
    <row r="34" spans="1:10" ht="15" customHeight="1">
      <c r="A34" s="167" t="s">
        <v>208</v>
      </c>
      <c r="B34" s="123" t="s">
        <v>210</v>
      </c>
      <c r="C34" s="123"/>
      <c r="D34" s="123"/>
      <c r="E34" s="123"/>
      <c r="F34" s="123"/>
      <c r="G34" s="123"/>
      <c r="H34" s="123"/>
      <c r="I34" s="123"/>
      <c r="J34" s="123"/>
    </row>
    <row r="35" spans="1:10">
      <c r="A35" s="123" t="s">
        <v>240</v>
      </c>
      <c r="B35" s="167" t="s">
        <v>256</v>
      </c>
      <c r="C35" s="123"/>
      <c r="D35" s="123"/>
      <c r="E35" s="123"/>
      <c r="F35" s="123"/>
      <c r="G35" s="123"/>
      <c r="H35" s="123"/>
      <c r="I35" s="123"/>
      <c r="J35" s="123"/>
    </row>
    <row r="36" spans="1:10">
      <c r="A36" s="123"/>
      <c r="B36" s="123"/>
      <c r="C36" s="123"/>
      <c r="D36" s="123"/>
      <c r="E36" s="123"/>
      <c r="F36" s="123"/>
      <c r="G36" s="123"/>
      <c r="H36" s="123"/>
      <c r="I36" s="123"/>
      <c r="J36" s="123"/>
    </row>
    <row r="37" spans="1:10">
      <c r="A37" t="s">
        <v>205</v>
      </c>
    </row>
    <row r="38" spans="1:10" ht="16.5" thickBot="1">
      <c r="B38" s="166" t="s">
        <v>255</v>
      </c>
      <c r="C38" s="166" t="s">
        <v>147</v>
      </c>
      <c r="D38" s="209" t="s">
        <v>246</v>
      </c>
      <c r="E38" s="209"/>
      <c r="F38" s="166" t="s">
        <v>245</v>
      </c>
      <c r="G38" s="166" t="s">
        <v>244</v>
      </c>
    </row>
    <row r="39" spans="1:10">
      <c r="B39" s="174">
        <v>1</v>
      </c>
      <c r="C39" s="164">
        <v>500000</v>
      </c>
      <c r="D39" s="208">
        <f t="shared" ref="D39:D50" si="0">$D$26*$D$25</f>
        <v>1350000</v>
      </c>
      <c r="E39" s="208"/>
      <c r="F39" s="173">
        <f t="shared" ref="F39:F50" si="1">$D$27*$D$25</f>
        <v>1260000</v>
      </c>
      <c r="G39" s="163">
        <f t="shared" ref="G39:G50" si="2">$D$30*$D$25+C39</f>
        <v>755000</v>
      </c>
    </row>
    <row r="40" spans="1:10">
      <c r="B40" s="171">
        <v>2</v>
      </c>
      <c r="C40" s="161">
        <v>427000</v>
      </c>
      <c r="D40" s="206">
        <f t="shared" si="0"/>
        <v>1350000</v>
      </c>
      <c r="E40" s="206"/>
      <c r="F40" s="170">
        <f t="shared" si="1"/>
        <v>1260000</v>
      </c>
      <c r="G40" s="160">
        <f t="shared" si="2"/>
        <v>682000</v>
      </c>
    </row>
    <row r="41" spans="1:10">
      <c r="B41" s="171">
        <v>3</v>
      </c>
      <c r="C41" s="161">
        <v>679000</v>
      </c>
      <c r="D41" s="206">
        <f t="shared" si="0"/>
        <v>1350000</v>
      </c>
      <c r="E41" s="206"/>
      <c r="F41" s="170">
        <f t="shared" si="1"/>
        <v>1260000</v>
      </c>
      <c r="G41" s="160">
        <f t="shared" si="2"/>
        <v>934000</v>
      </c>
    </row>
    <row r="42" spans="1:10">
      <c r="B42" s="171">
        <v>4</v>
      </c>
      <c r="C42" s="161">
        <v>885000</v>
      </c>
      <c r="D42" s="206">
        <f t="shared" si="0"/>
        <v>1350000</v>
      </c>
      <c r="E42" s="206"/>
      <c r="F42" s="170">
        <f t="shared" si="1"/>
        <v>1260000</v>
      </c>
      <c r="G42" s="160">
        <f t="shared" si="2"/>
        <v>1140000</v>
      </c>
      <c r="I42" s="172">
        <f>D29*D25*12</f>
        <v>10620000</v>
      </c>
      <c r="J42" s="101" t="s">
        <v>254</v>
      </c>
    </row>
    <row r="43" spans="1:10">
      <c r="B43" s="171">
        <v>5</v>
      </c>
      <c r="C43" s="161">
        <v>1719000</v>
      </c>
      <c r="D43" s="206">
        <f t="shared" si="0"/>
        <v>1350000</v>
      </c>
      <c r="E43" s="206"/>
      <c r="F43" s="170">
        <f t="shared" si="1"/>
        <v>1260000</v>
      </c>
      <c r="G43" s="160">
        <f t="shared" si="2"/>
        <v>1974000</v>
      </c>
      <c r="I43" s="172">
        <f>SUM(C39:C50)</f>
        <v>12248000</v>
      </c>
      <c r="J43" s="101" t="s">
        <v>253</v>
      </c>
    </row>
    <row r="44" spans="1:10">
      <c r="B44" s="171">
        <v>6</v>
      </c>
      <c r="C44" s="161">
        <v>623000</v>
      </c>
      <c r="D44" s="206">
        <f t="shared" si="0"/>
        <v>1350000</v>
      </c>
      <c r="E44" s="206"/>
      <c r="F44" s="170">
        <f t="shared" si="1"/>
        <v>1260000</v>
      </c>
      <c r="G44" s="160">
        <f t="shared" si="2"/>
        <v>878000</v>
      </c>
      <c r="I44" s="172">
        <f>I42-I43</f>
        <v>-1628000</v>
      </c>
      <c r="J44" s="101" t="s">
        <v>252</v>
      </c>
    </row>
    <row r="45" spans="1:10">
      <c r="B45" s="171">
        <v>7</v>
      </c>
      <c r="C45" s="161">
        <v>815000</v>
      </c>
      <c r="D45" s="206">
        <f t="shared" si="0"/>
        <v>1350000</v>
      </c>
      <c r="E45" s="206"/>
      <c r="F45" s="170">
        <f t="shared" si="1"/>
        <v>1260000</v>
      </c>
      <c r="G45" s="160">
        <f t="shared" si="2"/>
        <v>1070000</v>
      </c>
    </row>
    <row r="46" spans="1:10">
      <c r="B46" s="171">
        <v>8</v>
      </c>
      <c r="C46" s="161">
        <v>3200000</v>
      </c>
      <c r="D46" s="206">
        <f t="shared" si="0"/>
        <v>1350000</v>
      </c>
      <c r="E46" s="206"/>
      <c r="F46" s="170">
        <f t="shared" si="1"/>
        <v>1260000</v>
      </c>
      <c r="G46" s="160">
        <f t="shared" si="2"/>
        <v>3455000</v>
      </c>
      <c r="I46" s="101" t="s">
        <v>251</v>
      </c>
    </row>
    <row r="47" spans="1:10">
      <c r="B47" s="171">
        <v>9</v>
      </c>
      <c r="C47" s="161">
        <v>789000</v>
      </c>
      <c r="D47" s="206">
        <f t="shared" si="0"/>
        <v>1350000</v>
      </c>
      <c r="E47" s="206"/>
      <c r="F47" s="170">
        <f t="shared" si="1"/>
        <v>1260000</v>
      </c>
      <c r="G47" s="160">
        <f t="shared" si="2"/>
        <v>1044000</v>
      </c>
    </row>
    <row r="48" spans="1:10">
      <c r="B48" s="171">
        <v>10</v>
      </c>
      <c r="C48" s="161">
        <v>1200000</v>
      </c>
      <c r="D48" s="206">
        <f t="shared" si="0"/>
        <v>1350000</v>
      </c>
      <c r="E48" s="206"/>
      <c r="F48" s="170">
        <f t="shared" si="1"/>
        <v>1260000</v>
      </c>
      <c r="G48" s="160">
        <f t="shared" si="2"/>
        <v>1455000</v>
      </c>
    </row>
    <row r="49" spans="2:7">
      <c r="B49" s="171">
        <v>11</v>
      </c>
      <c r="C49" s="161">
        <v>423000</v>
      </c>
      <c r="D49" s="206">
        <f t="shared" si="0"/>
        <v>1350000</v>
      </c>
      <c r="E49" s="206"/>
      <c r="F49" s="170">
        <f t="shared" si="1"/>
        <v>1260000</v>
      </c>
      <c r="G49" s="160">
        <f t="shared" si="2"/>
        <v>678000</v>
      </c>
    </row>
    <row r="50" spans="2:7" ht="16.5" thickBot="1">
      <c r="B50" s="169">
        <v>12</v>
      </c>
      <c r="C50" s="158">
        <v>988000</v>
      </c>
      <c r="D50" s="207">
        <f t="shared" si="0"/>
        <v>1350000</v>
      </c>
      <c r="E50" s="207"/>
      <c r="F50" s="168">
        <f t="shared" si="1"/>
        <v>1260000</v>
      </c>
      <c r="G50" s="157">
        <f t="shared" si="2"/>
        <v>1243000</v>
      </c>
    </row>
    <row r="51" spans="2:7">
      <c r="C51" s="156"/>
      <c r="D51" s="156"/>
      <c r="E51" s="156"/>
      <c r="F51" s="156"/>
    </row>
    <row r="52" spans="2:7">
      <c r="D52" s="155"/>
      <c r="E52" s="155"/>
      <c r="F52" s="155"/>
      <c r="G52" s="155"/>
    </row>
    <row r="53" spans="2:7">
      <c r="D53" s="155"/>
      <c r="E53" s="155"/>
      <c r="F53" s="155"/>
      <c r="G53" s="155"/>
    </row>
    <row r="67" spans="1:10">
      <c r="A67" s="123"/>
      <c r="B67" s="123"/>
      <c r="C67" s="123"/>
      <c r="D67" s="123"/>
      <c r="E67" s="123"/>
      <c r="F67" s="123"/>
      <c r="G67" s="123"/>
      <c r="H67" s="123"/>
      <c r="I67" s="123"/>
      <c r="J67" s="123"/>
    </row>
    <row r="68" spans="1:10">
      <c r="A68" s="123" t="s">
        <v>240</v>
      </c>
      <c r="B68" s="123" t="s">
        <v>250</v>
      </c>
      <c r="C68" s="123"/>
      <c r="D68" s="123"/>
      <c r="E68" s="123"/>
      <c r="F68" s="123"/>
      <c r="G68" s="123"/>
      <c r="H68" s="123"/>
      <c r="I68" s="123"/>
      <c r="J68" s="123"/>
    </row>
    <row r="69" spans="1:10">
      <c r="A69" s="123"/>
      <c r="B69" s="123"/>
      <c r="C69" s="123"/>
      <c r="D69" s="123"/>
      <c r="E69" s="123"/>
      <c r="F69" s="123"/>
      <c r="G69" s="123"/>
      <c r="H69" s="123"/>
      <c r="I69" s="123"/>
      <c r="J69" s="123"/>
    </row>
    <row r="70" spans="1:10">
      <c r="A70" t="s">
        <v>205</v>
      </c>
    </row>
    <row r="81" spans="1:10">
      <c r="A81" s="123" t="s">
        <v>240</v>
      </c>
      <c r="B81" s="123" t="s">
        <v>242</v>
      </c>
      <c r="C81" s="123"/>
      <c r="D81" s="123"/>
      <c r="E81" s="123"/>
      <c r="F81" s="123"/>
      <c r="G81" s="123"/>
      <c r="H81" s="123"/>
      <c r="I81" s="123"/>
      <c r="J81" s="123"/>
    </row>
    <row r="82" spans="1:10">
      <c r="A82" s="123"/>
      <c r="B82" s="123"/>
      <c r="C82" s="123"/>
      <c r="D82" s="123"/>
      <c r="E82" s="123"/>
      <c r="F82" s="123"/>
      <c r="G82" s="123"/>
      <c r="H82" s="123"/>
      <c r="I82" s="123"/>
      <c r="J82" s="123"/>
    </row>
    <row r="83" spans="1:10">
      <c r="A83" t="s">
        <v>205</v>
      </c>
    </row>
    <row r="94" spans="1:10">
      <c r="A94" s="123" t="s">
        <v>249</v>
      </c>
      <c r="B94" s="123" t="s">
        <v>210</v>
      </c>
      <c r="C94" s="123"/>
      <c r="D94" s="123"/>
      <c r="E94" s="123"/>
      <c r="F94" s="123"/>
      <c r="G94" s="123"/>
      <c r="H94" s="123"/>
      <c r="I94" s="123"/>
      <c r="J94" s="123"/>
    </row>
    <row r="95" spans="1:10">
      <c r="A95" s="123" t="s">
        <v>240</v>
      </c>
      <c r="B95" s="167" t="s">
        <v>248</v>
      </c>
      <c r="C95" s="123"/>
      <c r="D95" s="123"/>
      <c r="E95" s="123"/>
      <c r="F95" s="123"/>
      <c r="G95" s="123"/>
      <c r="H95" s="123"/>
      <c r="I95" s="123"/>
      <c r="J95" s="123"/>
    </row>
    <row r="96" spans="1:10">
      <c r="A96" s="123"/>
      <c r="B96" s="167"/>
      <c r="C96" s="123"/>
      <c r="D96" s="123"/>
      <c r="E96" s="123"/>
      <c r="F96" s="123"/>
      <c r="G96" s="123"/>
      <c r="H96" s="123"/>
      <c r="I96" s="123"/>
      <c r="J96" s="123"/>
    </row>
    <row r="97" spans="1:7">
      <c r="A97" t="s">
        <v>205</v>
      </c>
    </row>
    <row r="98" spans="1:7" ht="16.5" thickBot="1">
      <c r="B98" s="166" t="s">
        <v>247</v>
      </c>
      <c r="C98" s="166" t="s">
        <v>246</v>
      </c>
      <c r="D98" s="209" t="s">
        <v>245</v>
      </c>
      <c r="E98" s="209"/>
      <c r="F98" s="166" t="s">
        <v>244</v>
      </c>
    </row>
    <row r="99" spans="1:7">
      <c r="B99" s="165">
        <v>5000000</v>
      </c>
      <c r="C99" s="164">
        <v>0</v>
      </c>
      <c r="D99" s="208">
        <f t="shared" ref="D99:D108" si="3">MIN(D$29*D$25*12,B99)</f>
        <v>5000000</v>
      </c>
      <c r="E99" s="208"/>
      <c r="F99" s="163">
        <f t="shared" ref="F99:F108" si="4">B99</f>
        <v>5000000</v>
      </c>
    </row>
    <row r="100" spans="1:7">
      <c r="B100" s="162">
        <f t="shared" ref="B100:B108" si="5">B99+1000000</f>
        <v>6000000</v>
      </c>
      <c r="C100" s="161">
        <v>0</v>
      </c>
      <c r="D100" s="206">
        <f t="shared" si="3"/>
        <v>6000000</v>
      </c>
      <c r="E100" s="206"/>
      <c r="F100" s="160">
        <f t="shared" si="4"/>
        <v>6000000</v>
      </c>
    </row>
    <row r="101" spans="1:7">
      <c r="B101" s="162">
        <f t="shared" si="5"/>
        <v>7000000</v>
      </c>
      <c r="C101" s="161">
        <v>0</v>
      </c>
      <c r="D101" s="206">
        <f t="shared" si="3"/>
        <v>7000000</v>
      </c>
      <c r="E101" s="206"/>
      <c r="F101" s="160">
        <f t="shared" si="4"/>
        <v>7000000</v>
      </c>
    </row>
    <row r="102" spans="1:7">
      <c r="B102" s="162">
        <f t="shared" si="5"/>
        <v>8000000</v>
      </c>
      <c r="C102" s="161">
        <v>0</v>
      </c>
      <c r="D102" s="206">
        <f t="shared" si="3"/>
        <v>8000000</v>
      </c>
      <c r="E102" s="206"/>
      <c r="F102" s="160">
        <f t="shared" si="4"/>
        <v>8000000</v>
      </c>
    </row>
    <row r="103" spans="1:7">
      <c r="B103" s="162">
        <f t="shared" si="5"/>
        <v>9000000</v>
      </c>
      <c r="C103" s="161">
        <v>0</v>
      </c>
      <c r="D103" s="206">
        <f t="shared" si="3"/>
        <v>9000000</v>
      </c>
      <c r="E103" s="206"/>
      <c r="F103" s="160">
        <f t="shared" si="4"/>
        <v>9000000</v>
      </c>
    </row>
    <row r="104" spans="1:7">
      <c r="B104" s="162">
        <f t="shared" si="5"/>
        <v>10000000</v>
      </c>
      <c r="C104" s="161">
        <v>0</v>
      </c>
      <c r="D104" s="206">
        <f t="shared" si="3"/>
        <v>10000000</v>
      </c>
      <c r="E104" s="206"/>
      <c r="F104" s="160">
        <f t="shared" si="4"/>
        <v>10000000</v>
      </c>
    </row>
    <row r="105" spans="1:7">
      <c r="B105" s="162">
        <f t="shared" si="5"/>
        <v>11000000</v>
      </c>
      <c r="C105" s="161">
        <v>0</v>
      </c>
      <c r="D105" s="206">
        <f t="shared" si="3"/>
        <v>10620000</v>
      </c>
      <c r="E105" s="206"/>
      <c r="F105" s="160">
        <f t="shared" si="4"/>
        <v>11000000</v>
      </c>
    </row>
    <row r="106" spans="1:7">
      <c r="B106" s="162">
        <f t="shared" si="5"/>
        <v>12000000</v>
      </c>
      <c r="C106" s="161">
        <v>0</v>
      </c>
      <c r="D106" s="206">
        <f t="shared" si="3"/>
        <v>10620000</v>
      </c>
      <c r="E106" s="206"/>
      <c r="F106" s="160">
        <f t="shared" si="4"/>
        <v>12000000</v>
      </c>
    </row>
    <row r="107" spans="1:7">
      <c r="B107" s="162">
        <f t="shared" si="5"/>
        <v>13000000</v>
      </c>
      <c r="C107" s="161">
        <v>0</v>
      </c>
      <c r="D107" s="206">
        <f t="shared" si="3"/>
        <v>10620000</v>
      </c>
      <c r="E107" s="206"/>
      <c r="F107" s="160">
        <f t="shared" si="4"/>
        <v>13000000</v>
      </c>
    </row>
    <row r="108" spans="1:7" ht="16.5" thickBot="1">
      <c r="B108" s="159">
        <f t="shared" si="5"/>
        <v>14000000</v>
      </c>
      <c r="C108" s="158">
        <v>0</v>
      </c>
      <c r="D108" s="207">
        <f t="shared" si="3"/>
        <v>10620000</v>
      </c>
      <c r="E108" s="207"/>
      <c r="F108" s="157">
        <f t="shared" si="4"/>
        <v>14000000</v>
      </c>
    </row>
    <row r="109" spans="1:7">
      <c r="C109" s="113"/>
      <c r="D109" s="156"/>
      <c r="E109" s="156"/>
      <c r="F109" s="156"/>
      <c r="G109" s="156"/>
    </row>
    <row r="110" spans="1:7">
      <c r="C110" s="113"/>
      <c r="D110" s="156"/>
      <c r="E110" s="156"/>
      <c r="F110" s="156"/>
      <c r="G110" s="156"/>
    </row>
    <row r="111" spans="1:7">
      <c r="D111" s="156"/>
      <c r="E111" s="156"/>
      <c r="F111" s="156"/>
      <c r="G111" s="156"/>
    </row>
    <row r="112" spans="1:7">
      <c r="D112" s="155"/>
      <c r="E112" s="155"/>
      <c r="F112" s="155"/>
      <c r="G112" s="155"/>
    </row>
    <row r="126" spans="1:10">
      <c r="A126" s="123" t="s">
        <v>240</v>
      </c>
      <c r="B126" s="123" t="s">
        <v>243</v>
      </c>
      <c r="C126" s="123"/>
      <c r="D126" s="123"/>
      <c r="E126" s="123"/>
      <c r="F126" s="123"/>
      <c r="G126" s="123"/>
      <c r="H126" s="123"/>
      <c r="I126" s="123"/>
      <c r="J126" s="123"/>
    </row>
    <row r="127" spans="1:10">
      <c r="A127" s="123"/>
      <c r="B127" s="123"/>
      <c r="C127" s="123"/>
      <c r="D127" s="123"/>
      <c r="E127" s="123"/>
      <c r="F127" s="123"/>
      <c r="G127" s="123"/>
      <c r="H127" s="123"/>
      <c r="I127" s="123"/>
      <c r="J127" s="123"/>
    </row>
    <row r="128" spans="1:10">
      <c r="A128" t="s">
        <v>205</v>
      </c>
    </row>
    <row r="139" spans="1:10">
      <c r="A139" s="123" t="s">
        <v>240</v>
      </c>
      <c r="B139" s="123" t="s">
        <v>242</v>
      </c>
      <c r="C139" s="123"/>
      <c r="D139" s="123"/>
      <c r="E139" s="123"/>
      <c r="F139" s="123"/>
      <c r="G139" s="123"/>
      <c r="H139" s="123"/>
      <c r="I139" s="123"/>
      <c r="J139" s="123"/>
    </row>
    <row r="140" spans="1:10">
      <c r="A140" s="123"/>
      <c r="B140" s="123"/>
      <c r="C140" s="123"/>
      <c r="D140" s="123"/>
      <c r="E140" s="123"/>
      <c r="F140" s="123"/>
      <c r="G140" s="123"/>
      <c r="H140" s="123"/>
      <c r="I140" s="123"/>
      <c r="J140" s="123"/>
    </row>
    <row r="141" spans="1:10">
      <c r="A141" t="s">
        <v>205</v>
      </c>
    </row>
    <row r="152" spans="1:10">
      <c r="A152" s="123" t="s">
        <v>241</v>
      </c>
      <c r="B152" s="123" t="s">
        <v>240</v>
      </c>
      <c r="C152" s="123"/>
      <c r="D152" s="123"/>
      <c r="E152" s="123"/>
      <c r="F152" s="123"/>
      <c r="G152" s="123"/>
      <c r="H152" s="123"/>
      <c r="I152" s="123"/>
      <c r="J152" s="123"/>
    </row>
    <row r="153" spans="1:10">
      <c r="A153" s="123"/>
      <c r="B153" s="123" t="s">
        <v>239</v>
      </c>
      <c r="C153" s="123"/>
      <c r="D153" s="123"/>
      <c r="E153" s="123"/>
      <c r="F153" s="123"/>
      <c r="G153" s="123"/>
      <c r="H153" s="123"/>
      <c r="I153" s="123"/>
      <c r="J153" s="123"/>
    </row>
    <row r="154" spans="1:10">
      <c r="A154" t="s">
        <v>205</v>
      </c>
    </row>
  </sheetData>
  <mergeCells count="41">
    <mergeCell ref="B8:E8"/>
    <mergeCell ref="F8:H8"/>
    <mergeCell ref="B9:E9"/>
    <mergeCell ref="F9:H9"/>
    <mergeCell ref="B10:E10"/>
    <mergeCell ref="F10:H10"/>
    <mergeCell ref="F11:H11"/>
    <mergeCell ref="B13:E13"/>
    <mergeCell ref="F13:H13"/>
    <mergeCell ref="B14:E14"/>
    <mergeCell ref="F14:H14"/>
    <mergeCell ref="D38:E38"/>
    <mergeCell ref="D39:E39"/>
    <mergeCell ref="D40:E40"/>
    <mergeCell ref="D41:E41"/>
    <mergeCell ref="B11:E11"/>
    <mergeCell ref="B15:E15"/>
    <mergeCell ref="F15:H15"/>
    <mergeCell ref="B16:E16"/>
    <mergeCell ref="F16:H16"/>
    <mergeCell ref="B20:H21"/>
    <mergeCell ref="D42:E42"/>
    <mergeCell ref="D43:E43"/>
    <mergeCell ref="D103:E103"/>
    <mergeCell ref="D45:E45"/>
    <mergeCell ref="D46:E46"/>
    <mergeCell ref="D47:E47"/>
    <mergeCell ref="D48:E48"/>
    <mergeCell ref="D49:E49"/>
    <mergeCell ref="D50:E50"/>
    <mergeCell ref="D98:E98"/>
    <mergeCell ref="D44:E44"/>
    <mergeCell ref="D106:E106"/>
    <mergeCell ref="D107:E107"/>
    <mergeCell ref="D108:E108"/>
    <mergeCell ref="D99:E99"/>
    <mergeCell ref="D100:E100"/>
    <mergeCell ref="D101:E101"/>
    <mergeCell ref="D102:E102"/>
    <mergeCell ref="D104:E104"/>
    <mergeCell ref="D105:E10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A55C-F05F-4EF8-8AC2-AE25E5FC24C9}">
  <dimension ref="A1:K87"/>
  <sheetViews>
    <sheetView tabSelected="1" zoomScale="85" zoomScaleNormal="85" workbookViewId="0">
      <selection activeCell="D22" sqref="D22"/>
    </sheetView>
  </sheetViews>
  <sheetFormatPr defaultColWidth="8.7109375" defaultRowHeight="15.75"/>
  <cols>
    <col min="1" max="1" width="11.85546875" style="101" customWidth="1"/>
    <col min="2" max="2" width="12.42578125" style="101" bestFit="1" customWidth="1"/>
    <col min="3" max="3" width="18" style="101" bestFit="1" customWidth="1"/>
    <col min="4" max="4" width="21.7109375" style="101" bestFit="1" customWidth="1"/>
    <col min="5" max="5" width="27.140625" style="101" bestFit="1" customWidth="1"/>
    <col min="6" max="6" width="22.42578125" style="101" customWidth="1"/>
    <col min="7" max="7" width="24.42578125" style="101" customWidth="1"/>
    <col min="8" max="9" width="27.28515625" style="101" customWidth="1"/>
    <col min="10" max="10" width="8.7109375" style="101"/>
    <col min="11" max="11" width="8.7109375" style="100"/>
  </cols>
  <sheetData>
    <row r="1" spans="1:10" ht="21" customHeight="1">
      <c r="A1" s="154" t="s">
        <v>333</v>
      </c>
      <c r="B1" s="123"/>
      <c r="C1" s="123"/>
      <c r="D1" s="123"/>
      <c r="E1" s="123"/>
      <c r="F1" s="123"/>
      <c r="G1" s="123"/>
      <c r="H1" s="123"/>
      <c r="I1" s="123"/>
      <c r="J1" s="123"/>
    </row>
    <row r="2" spans="1:10" ht="21" customHeight="1">
      <c r="A2" s="167" t="s">
        <v>237</v>
      </c>
      <c r="B2" s="123"/>
      <c r="C2" s="123"/>
      <c r="D2" s="123"/>
      <c r="E2" s="123"/>
      <c r="F2" s="123"/>
      <c r="G2" s="123"/>
      <c r="H2" s="123"/>
      <c r="I2" s="123"/>
      <c r="J2" s="123"/>
    </row>
    <row r="3" spans="1:10" ht="21" customHeight="1">
      <c r="A3" s="123" t="s">
        <v>211</v>
      </c>
      <c r="B3" s="123" t="s">
        <v>240</v>
      </c>
      <c r="C3" s="123"/>
      <c r="D3" s="123"/>
      <c r="E3" s="123"/>
      <c r="F3" s="123"/>
      <c r="G3" s="123"/>
      <c r="H3" s="123"/>
      <c r="I3" s="123"/>
      <c r="J3" s="123"/>
    </row>
    <row r="4" spans="1:10" ht="21" customHeight="1">
      <c r="A4" s="123" t="s">
        <v>332</v>
      </c>
      <c r="B4" s="123"/>
      <c r="C4" s="123"/>
      <c r="D4" s="123"/>
      <c r="E4" s="123"/>
      <c r="F4" s="123"/>
      <c r="G4" s="123"/>
      <c r="H4" s="123"/>
      <c r="I4" s="123"/>
      <c r="J4" s="123"/>
    </row>
    <row r="5" spans="1:10" ht="19.899999999999999" customHeight="1">
      <c r="A5" s="123"/>
      <c r="B5" s="123"/>
      <c r="C5" s="123"/>
      <c r="D5" s="123"/>
      <c r="E5" s="123"/>
      <c r="F5" s="123"/>
      <c r="G5" s="123"/>
      <c r="H5" s="123"/>
      <c r="I5" s="123"/>
      <c r="J5" s="123"/>
    </row>
    <row r="6" spans="1:10" ht="21.4" customHeight="1">
      <c r="A6" t="s">
        <v>205</v>
      </c>
    </row>
    <row r="17" spans="1:10">
      <c r="A17" s="123" t="s">
        <v>331</v>
      </c>
      <c r="B17" s="123"/>
      <c r="C17" s="123"/>
      <c r="D17" s="123"/>
      <c r="E17" s="123"/>
      <c r="F17" s="123"/>
      <c r="G17" s="123"/>
      <c r="H17" s="123"/>
      <c r="I17" s="123"/>
      <c r="J17" s="123"/>
    </row>
    <row r="18" spans="1:10">
      <c r="A18" s="123" t="s">
        <v>235</v>
      </c>
      <c r="B18" s="123"/>
      <c r="C18" s="123"/>
      <c r="D18" s="123"/>
      <c r="E18" s="123"/>
      <c r="F18" s="123"/>
      <c r="G18" s="123"/>
      <c r="H18" s="123"/>
      <c r="I18" s="123"/>
      <c r="J18" s="123"/>
    </row>
    <row r="19" spans="1:10">
      <c r="A19" s="123"/>
      <c r="B19" s="123"/>
      <c r="C19" s="123"/>
      <c r="D19" s="123"/>
      <c r="E19" s="123"/>
      <c r="F19" s="123"/>
      <c r="G19" s="123"/>
      <c r="H19" s="123"/>
      <c r="I19" s="123"/>
      <c r="J19" s="123"/>
    </row>
    <row r="20" spans="1:10">
      <c r="A20" s="185" t="s">
        <v>309</v>
      </c>
      <c r="B20" s="185" t="s">
        <v>308</v>
      </c>
      <c r="C20" s="185" t="s">
        <v>307</v>
      </c>
      <c r="D20" s="185" t="s">
        <v>306</v>
      </c>
      <c r="E20" s="185" t="s">
        <v>305</v>
      </c>
      <c r="F20" s="123"/>
      <c r="G20" s="123"/>
      <c r="H20" s="123"/>
      <c r="I20" s="123"/>
      <c r="J20" s="123"/>
    </row>
    <row r="21" spans="1:10">
      <c r="A21" s="123" t="s">
        <v>302</v>
      </c>
      <c r="B21" s="184">
        <v>0.25</v>
      </c>
      <c r="C21" s="183">
        <v>25</v>
      </c>
      <c r="D21" s="184">
        <v>0.22</v>
      </c>
      <c r="E21" s="183">
        <v>28</v>
      </c>
      <c r="F21" s="123"/>
      <c r="G21" s="123"/>
      <c r="H21" s="123"/>
      <c r="I21" s="123"/>
      <c r="J21" s="123"/>
    </row>
    <row r="22" spans="1:10">
      <c r="A22" s="123" t="s">
        <v>301</v>
      </c>
      <c r="B22" s="184">
        <v>0.15</v>
      </c>
      <c r="C22" s="183">
        <v>45</v>
      </c>
      <c r="D22" s="184">
        <v>0.16</v>
      </c>
      <c r="E22" s="183">
        <v>50</v>
      </c>
      <c r="F22" s="123"/>
      <c r="G22" s="123"/>
      <c r="H22" s="123"/>
      <c r="I22" s="123"/>
      <c r="J22" s="123"/>
    </row>
    <row r="23" spans="1:10">
      <c r="A23" s="123" t="s">
        <v>300</v>
      </c>
      <c r="B23" s="184">
        <v>0.1</v>
      </c>
      <c r="C23" s="183">
        <v>350</v>
      </c>
      <c r="D23" s="184">
        <v>0.12</v>
      </c>
      <c r="E23" s="183">
        <v>365</v>
      </c>
      <c r="F23" s="123"/>
      <c r="G23" s="123"/>
      <c r="H23" s="123"/>
      <c r="I23" s="123"/>
      <c r="J23" s="123"/>
    </row>
    <row r="24" spans="1:10">
      <c r="A24" s="123" t="s">
        <v>299</v>
      </c>
      <c r="B24" s="184">
        <v>0.32</v>
      </c>
      <c r="C24" s="183">
        <v>75</v>
      </c>
      <c r="D24" s="184">
        <v>0.3</v>
      </c>
      <c r="E24" s="183">
        <v>85</v>
      </c>
      <c r="F24" s="123"/>
      <c r="G24" s="123"/>
      <c r="H24" s="123"/>
      <c r="I24" s="123"/>
      <c r="J24" s="123"/>
    </row>
    <row r="25" spans="1:10">
      <c r="A25" s="123" t="s">
        <v>298</v>
      </c>
      <c r="B25" s="184">
        <v>0.06</v>
      </c>
      <c r="C25" s="183">
        <v>200</v>
      </c>
      <c r="D25" s="184">
        <v>7.0000000000000007E-2</v>
      </c>
      <c r="E25" s="183">
        <v>225</v>
      </c>
      <c r="F25" s="123"/>
      <c r="G25" s="123"/>
      <c r="H25" s="123"/>
      <c r="I25" s="123"/>
      <c r="J25" s="123"/>
    </row>
    <row r="26" spans="1:10">
      <c r="A26" s="123" t="s">
        <v>297</v>
      </c>
      <c r="B26" s="184">
        <v>0.05</v>
      </c>
      <c r="C26" s="183">
        <v>350</v>
      </c>
      <c r="D26" s="184">
        <v>0.06</v>
      </c>
      <c r="E26" s="183">
        <v>425</v>
      </c>
      <c r="F26" s="123"/>
      <c r="G26" s="123"/>
      <c r="H26" s="123"/>
      <c r="I26" s="123"/>
      <c r="J26" s="123"/>
    </row>
    <row r="27" spans="1:10">
      <c r="A27" s="123" t="s">
        <v>296</v>
      </c>
      <c r="B27" s="184">
        <v>0.04</v>
      </c>
      <c r="C27" s="183">
        <v>1200</v>
      </c>
      <c r="D27" s="184">
        <v>0.03</v>
      </c>
      <c r="E27" s="183">
        <v>1300</v>
      </c>
      <c r="F27" s="123"/>
      <c r="G27" s="123"/>
      <c r="H27" s="123"/>
      <c r="I27" s="123"/>
      <c r="J27" s="123"/>
    </row>
    <row r="28" spans="1:10">
      <c r="A28" s="123" t="s">
        <v>295</v>
      </c>
      <c r="B28" s="184">
        <f>1-SUM(B21:B27)</f>
        <v>2.9999999999999805E-2</v>
      </c>
      <c r="C28" s="183">
        <v>5000</v>
      </c>
      <c r="D28" s="184">
        <f>1-SUM(D21:D27)</f>
        <v>3.9999999999999813E-2</v>
      </c>
      <c r="E28" s="183">
        <v>6000</v>
      </c>
      <c r="F28" s="123"/>
      <c r="G28" s="123"/>
      <c r="H28" s="123"/>
      <c r="I28" s="123"/>
      <c r="J28" s="123"/>
    </row>
    <row r="29" spans="1:10">
      <c r="A29" s="123"/>
      <c r="B29" s="123"/>
      <c r="C29" s="123"/>
      <c r="D29" s="123"/>
      <c r="E29" s="123"/>
      <c r="F29" s="123"/>
      <c r="G29" s="123"/>
      <c r="H29" s="123"/>
      <c r="I29" s="123"/>
      <c r="J29" s="123"/>
    </row>
    <row r="30" spans="1:10">
      <c r="A30" s="123" t="s">
        <v>330</v>
      </c>
      <c r="B30" s="123"/>
      <c r="C30" s="123"/>
      <c r="D30" s="123"/>
      <c r="E30" s="123"/>
      <c r="F30" s="123"/>
      <c r="G30" s="123"/>
      <c r="H30" s="123"/>
      <c r="I30" s="123"/>
      <c r="J30" s="123"/>
    </row>
    <row r="31" spans="1:10">
      <c r="A31" s="123"/>
      <c r="B31" s="123"/>
      <c r="C31" s="123"/>
      <c r="D31" s="123"/>
      <c r="E31" s="123"/>
      <c r="F31" s="123"/>
      <c r="G31" s="123"/>
      <c r="H31" s="123"/>
      <c r="I31" s="123"/>
      <c r="J31" s="123"/>
    </row>
    <row r="32" spans="1:10">
      <c r="A32" s="123" t="s">
        <v>208</v>
      </c>
      <c r="B32" s="123" t="s">
        <v>207</v>
      </c>
      <c r="C32" s="123"/>
      <c r="D32" s="123"/>
      <c r="E32" s="123"/>
      <c r="F32" s="123"/>
      <c r="G32" s="123"/>
      <c r="H32" s="123"/>
      <c r="I32" s="123"/>
      <c r="J32" s="123"/>
    </row>
    <row r="33" spans="1:10">
      <c r="A33" s="123" t="s">
        <v>329</v>
      </c>
      <c r="B33" s="123"/>
      <c r="C33" s="123"/>
      <c r="D33" s="123"/>
      <c r="E33" s="123"/>
      <c r="F33" s="123"/>
      <c r="G33" s="123"/>
      <c r="H33" s="123"/>
      <c r="I33" s="123"/>
      <c r="J33" s="123"/>
    </row>
    <row r="34" spans="1:10">
      <c r="A34" s="167" t="s">
        <v>328</v>
      </c>
      <c r="B34" s="123"/>
      <c r="C34" s="123"/>
      <c r="D34" s="123"/>
      <c r="E34" s="123"/>
      <c r="F34" s="123"/>
      <c r="G34" s="123"/>
      <c r="H34" s="123"/>
      <c r="I34" s="123"/>
      <c r="J34" s="123"/>
    </row>
    <row r="35" spans="1:10">
      <c r="A35" s="167" t="s">
        <v>327</v>
      </c>
      <c r="B35" s="123"/>
      <c r="C35" s="123"/>
      <c r="D35" s="123"/>
      <c r="E35" s="123"/>
      <c r="F35" s="123"/>
      <c r="G35" s="123"/>
      <c r="H35" s="123"/>
      <c r="I35" s="123"/>
      <c r="J35" s="123"/>
    </row>
    <row r="36" spans="1:10">
      <c r="A36" s="167" t="s">
        <v>326</v>
      </c>
      <c r="B36" s="123"/>
      <c r="C36" s="123"/>
      <c r="D36" s="123"/>
      <c r="E36" s="123"/>
      <c r="F36" s="123"/>
      <c r="G36" s="123"/>
      <c r="H36" s="123"/>
      <c r="I36" s="123"/>
      <c r="J36" s="123"/>
    </row>
    <row r="37" spans="1:10">
      <c r="A37" s="123"/>
      <c r="B37" s="123"/>
      <c r="C37" s="123"/>
      <c r="D37" s="123"/>
      <c r="E37" s="123"/>
      <c r="F37" s="123"/>
      <c r="G37" s="123"/>
      <c r="H37" s="123"/>
      <c r="I37" s="123"/>
      <c r="J37" s="123"/>
    </row>
    <row r="38" spans="1:10">
      <c r="A38" t="s">
        <v>205</v>
      </c>
      <c r="E38" s="101" t="s">
        <v>325</v>
      </c>
      <c r="F38" s="101" t="s">
        <v>324</v>
      </c>
    </row>
    <row r="39" spans="1:10">
      <c r="D39" s="101" t="s">
        <v>323</v>
      </c>
      <c r="E39" s="101">
        <f>SUMPRODUCT(B21:B28,C21:C28)</f>
        <v>299.49999999999903</v>
      </c>
      <c r="F39" s="101">
        <f>SUMPRODUCT(B21:B28,E21:E28)</f>
        <v>344.94999999999879</v>
      </c>
    </row>
    <row r="40" spans="1:10">
      <c r="D40" s="101" t="s">
        <v>322</v>
      </c>
      <c r="E40" s="101">
        <f>SUMPRODUCT(D21:D28,C21:C28)</f>
        <v>348.19999999999902</v>
      </c>
      <c r="F40" s="101">
        <f>SUMPRODUCT(D21:D28,E21:E28)</f>
        <v>403.7099999999989</v>
      </c>
    </row>
    <row r="41" spans="1:10">
      <c r="B41" s="186"/>
    </row>
    <row r="43" spans="1:10">
      <c r="C43" s="188" t="s">
        <v>321</v>
      </c>
      <c r="D43" s="187">
        <f>F39/E39-1</f>
        <v>0.15175292153589282</v>
      </c>
    </row>
    <row r="44" spans="1:10">
      <c r="B44" s="186"/>
      <c r="C44" s="188" t="s">
        <v>320</v>
      </c>
      <c r="D44" s="187">
        <f>F40/F39-1</f>
        <v>0.17034352804754405</v>
      </c>
    </row>
    <row r="45" spans="1:10">
      <c r="C45" s="188" t="s">
        <v>294</v>
      </c>
      <c r="D45" s="187">
        <f>F40/E39-1</f>
        <v>0.34794657762938308</v>
      </c>
    </row>
    <row r="47" spans="1:10">
      <c r="B47" s="186"/>
      <c r="C47" s="101" t="s">
        <v>319</v>
      </c>
      <c r="D47" s="101">
        <f>(1+D43)*(1+D44)-1</f>
        <v>0.34794657762938308</v>
      </c>
    </row>
    <row r="49" spans="1:10">
      <c r="A49" s="167" t="s">
        <v>318</v>
      </c>
      <c r="B49" s="123"/>
      <c r="C49" s="123"/>
      <c r="D49" s="123"/>
      <c r="E49" s="123"/>
      <c r="F49" s="123"/>
      <c r="G49" s="123"/>
      <c r="H49" s="123"/>
      <c r="I49" s="123"/>
      <c r="J49" s="123"/>
    </row>
    <row r="50" spans="1:10">
      <c r="A50" s="167" t="s">
        <v>317</v>
      </c>
      <c r="B50" s="123"/>
      <c r="C50" s="123"/>
      <c r="D50" s="123"/>
      <c r="E50" s="123"/>
      <c r="F50" s="123"/>
      <c r="G50" s="123"/>
      <c r="H50" s="123"/>
      <c r="I50" s="123"/>
      <c r="J50" s="123"/>
    </row>
    <row r="51" spans="1:10">
      <c r="A51" s="123" t="s">
        <v>316</v>
      </c>
      <c r="B51" s="123"/>
      <c r="C51" s="123"/>
      <c r="D51" s="123"/>
      <c r="E51" s="123"/>
      <c r="F51" s="123"/>
      <c r="G51" s="123"/>
      <c r="H51" s="123"/>
      <c r="I51" s="123"/>
      <c r="J51" s="123"/>
    </row>
    <row r="52" spans="1:10">
      <c r="A52" s="123"/>
      <c r="B52" s="123"/>
      <c r="C52" s="123"/>
      <c r="D52" s="123"/>
      <c r="E52" s="123"/>
      <c r="F52" s="123"/>
      <c r="G52" s="123"/>
      <c r="H52" s="123"/>
      <c r="I52" s="123"/>
      <c r="J52" s="123"/>
    </row>
    <row r="53" spans="1:10">
      <c r="A53" s="123"/>
      <c r="B53" s="123"/>
      <c r="C53" s="123"/>
      <c r="D53" s="123"/>
      <c r="E53" s="123"/>
      <c r="F53" s="123"/>
      <c r="G53" s="123"/>
      <c r="H53" s="123"/>
      <c r="I53" s="123"/>
      <c r="J53" s="123"/>
    </row>
    <row r="54" spans="1:10">
      <c r="A54" s="123" t="s">
        <v>235</v>
      </c>
      <c r="B54" s="123"/>
      <c r="C54" s="123"/>
      <c r="D54" s="123"/>
      <c r="E54" s="123"/>
      <c r="F54" s="123"/>
      <c r="G54" s="123"/>
      <c r="H54" s="123"/>
      <c r="I54" s="123"/>
      <c r="J54" s="123"/>
    </row>
    <row r="55" spans="1:10">
      <c r="A55" s="123" t="s">
        <v>315</v>
      </c>
      <c r="B55" s="123"/>
      <c r="C55" s="184">
        <v>0.03</v>
      </c>
      <c r="D55" s="123"/>
      <c r="E55" s="123"/>
      <c r="F55" s="123"/>
      <c r="G55" s="123"/>
      <c r="H55" s="123"/>
      <c r="I55" s="123"/>
      <c r="J55" s="123"/>
    </row>
    <row r="56" spans="1:10">
      <c r="A56" s="123" t="s">
        <v>314</v>
      </c>
      <c r="B56" s="123"/>
      <c r="C56" s="183">
        <v>25</v>
      </c>
      <c r="D56" s="123"/>
      <c r="E56" s="123"/>
      <c r="F56" s="123"/>
      <c r="G56" s="123"/>
      <c r="H56" s="123"/>
      <c r="I56" s="123"/>
      <c r="J56" s="123"/>
    </row>
    <row r="57" spans="1:10">
      <c r="A57" s="123" t="s">
        <v>313</v>
      </c>
      <c r="B57" s="123"/>
      <c r="C57" s="184"/>
      <c r="D57" s="123"/>
      <c r="E57" s="123"/>
      <c r="F57" s="123"/>
      <c r="G57" s="123"/>
      <c r="H57" s="123"/>
      <c r="I57" s="123"/>
      <c r="J57" s="123"/>
    </row>
    <row r="58" spans="1:10">
      <c r="A58" s="123"/>
      <c r="B58" s="123"/>
      <c r="C58" s="123"/>
      <c r="D58" s="123"/>
      <c r="E58" s="123"/>
      <c r="F58" s="123"/>
      <c r="G58" s="123"/>
      <c r="H58" s="123"/>
      <c r="I58" s="123"/>
      <c r="J58" s="123"/>
    </row>
    <row r="59" spans="1:10">
      <c r="A59" s="123" t="s">
        <v>249</v>
      </c>
      <c r="B59" s="123" t="s">
        <v>210</v>
      </c>
      <c r="C59" s="123"/>
      <c r="D59" s="123"/>
      <c r="E59" s="123"/>
      <c r="F59" s="123"/>
      <c r="G59" s="123"/>
      <c r="H59" s="123"/>
      <c r="I59" s="123"/>
      <c r="J59" s="123"/>
    </row>
    <row r="60" spans="1:10">
      <c r="A60" s="123" t="s">
        <v>312</v>
      </c>
      <c r="B60" s="123"/>
      <c r="C60" s="123"/>
      <c r="D60" s="123"/>
      <c r="E60" s="123"/>
      <c r="F60" s="123"/>
      <c r="G60" s="123"/>
      <c r="H60" s="123"/>
      <c r="I60" s="123"/>
      <c r="J60" s="123"/>
    </row>
    <row r="61" spans="1:10">
      <c r="A61" s="167"/>
      <c r="B61" s="123"/>
      <c r="C61" s="123"/>
      <c r="D61" s="123"/>
      <c r="E61" s="123"/>
      <c r="F61" s="123"/>
      <c r="G61" s="123"/>
      <c r="H61" s="123"/>
      <c r="I61" s="123"/>
      <c r="J61" s="123"/>
    </row>
    <row r="62" spans="1:10">
      <c r="A62" s="123"/>
      <c r="B62" s="123"/>
      <c r="C62" s="123"/>
      <c r="D62" s="123"/>
      <c r="E62" s="123"/>
      <c r="F62" s="123"/>
      <c r="G62" s="123"/>
      <c r="H62" s="123"/>
      <c r="I62" s="123"/>
      <c r="J62" s="123"/>
    </row>
    <row r="63" spans="1:10">
      <c r="A63" t="s">
        <v>205</v>
      </c>
    </row>
    <row r="65" spans="1:7">
      <c r="A65" s="108" t="s">
        <v>311</v>
      </c>
    </row>
    <row r="66" spans="1:7">
      <c r="F66" s="101" t="s">
        <v>310</v>
      </c>
    </row>
    <row r="67" spans="1:7">
      <c r="A67" s="185" t="s">
        <v>309</v>
      </c>
      <c r="B67" s="185" t="s">
        <v>308</v>
      </c>
      <c r="C67" s="185" t="s">
        <v>307</v>
      </c>
      <c r="D67" s="185" t="s">
        <v>306</v>
      </c>
      <c r="E67" s="185" t="s">
        <v>305</v>
      </c>
      <c r="F67" s="101" t="s">
        <v>304</v>
      </c>
      <c r="G67" s="101" t="s">
        <v>303</v>
      </c>
    </row>
    <row r="68" spans="1:7">
      <c r="A68" s="123" t="s">
        <v>302</v>
      </c>
      <c r="B68" s="184">
        <v>0.25</v>
      </c>
      <c r="C68" s="183">
        <v>25</v>
      </c>
      <c r="D68" s="184">
        <v>0.22</v>
      </c>
      <c r="E68" s="183">
        <v>28</v>
      </c>
      <c r="F68" s="182">
        <f t="shared" ref="F68:F75" si="0">C68-$C$56</f>
        <v>0</v>
      </c>
      <c r="G68" s="182">
        <f t="shared" ref="G68:G75" si="1">E68-$C$56</f>
        <v>3</v>
      </c>
    </row>
    <row r="69" spans="1:7">
      <c r="A69" s="123" t="s">
        <v>301</v>
      </c>
      <c r="B69" s="184">
        <v>0.15</v>
      </c>
      <c r="C69" s="183">
        <v>45</v>
      </c>
      <c r="D69" s="184">
        <v>0.16</v>
      </c>
      <c r="E69" s="183">
        <v>50</v>
      </c>
      <c r="F69" s="182">
        <f t="shared" si="0"/>
        <v>20</v>
      </c>
      <c r="G69" s="182">
        <f t="shared" si="1"/>
        <v>25</v>
      </c>
    </row>
    <row r="70" spans="1:7">
      <c r="A70" s="123" t="s">
        <v>300</v>
      </c>
      <c r="B70" s="184">
        <v>0.1</v>
      </c>
      <c r="C70" s="183">
        <v>350</v>
      </c>
      <c r="D70" s="184">
        <v>0.12</v>
      </c>
      <c r="E70" s="183">
        <v>365</v>
      </c>
      <c r="F70" s="182">
        <f t="shared" si="0"/>
        <v>325</v>
      </c>
      <c r="G70" s="182">
        <f t="shared" si="1"/>
        <v>340</v>
      </c>
    </row>
    <row r="71" spans="1:7">
      <c r="A71" s="123" t="s">
        <v>299</v>
      </c>
      <c r="B71" s="184">
        <v>0.32</v>
      </c>
      <c r="C71" s="183">
        <v>75</v>
      </c>
      <c r="D71" s="184">
        <v>0.3</v>
      </c>
      <c r="E71" s="183">
        <v>85</v>
      </c>
      <c r="F71" s="182">
        <f t="shared" si="0"/>
        <v>50</v>
      </c>
      <c r="G71" s="182">
        <f t="shared" si="1"/>
        <v>60</v>
      </c>
    </row>
    <row r="72" spans="1:7">
      <c r="A72" s="123" t="s">
        <v>298</v>
      </c>
      <c r="B72" s="184">
        <v>0.06</v>
      </c>
      <c r="C72" s="183">
        <v>200</v>
      </c>
      <c r="D72" s="184">
        <v>7.0000000000000007E-2</v>
      </c>
      <c r="E72" s="183">
        <v>225</v>
      </c>
      <c r="F72" s="182">
        <f t="shared" si="0"/>
        <v>175</v>
      </c>
      <c r="G72" s="182">
        <f t="shared" si="1"/>
        <v>200</v>
      </c>
    </row>
    <row r="73" spans="1:7">
      <c r="A73" s="123" t="s">
        <v>297</v>
      </c>
      <c r="B73" s="184">
        <v>0.05</v>
      </c>
      <c r="C73" s="183">
        <v>350</v>
      </c>
      <c r="D73" s="184">
        <v>0.06</v>
      </c>
      <c r="E73" s="183">
        <v>425</v>
      </c>
      <c r="F73" s="182">
        <f t="shared" si="0"/>
        <v>325</v>
      </c>
      <c r="G73" s="182">
        <f t="shared" si="1"/>
        <v>400</v>
      </c>
    </row>
    <row r="74" spans="1:7">
      <c r="A74" s="123" t="s">
        <v>296</v>
      </c>
      <c r="B74" s="184">
        <v>0.04</v>
      </c>
      <c r="C74" s="183">
        <v>1200</v>
      </c>
      <c r="D74" s="184">
        <v>0.03</v>
      </c>
      <c r="E74" s="183">
        <v>1300</v>
      </c>
      <c r="F74" s="182">
        <f t="shared" si="0"/>
        <v>1175</v>
      </c>
      <c r="G74" s="182">
        <f t="shared" si="1"/>
        <v>1275</v>
      </c>
    </row>
    <row r="75" spans="1:7">
      <c r="A75" s="123" t="s">
        <v>295</v>
      </c>
      <c r="B75" s="184">
        <f>1-SUM(B68:B74)</f>
        <v>2.9999999999999805E-2</v>
      </c>
      <c r="C75" s="183">
        <v>5000</v>
      </c>
      <c r="D75" s="184">
        <f>1-SUM(D68:D74)</f>
        <v>3.9999999999999813E-2</v>
      </c>
      <c r="E75" s="183">
        <v>6000</v>
      </c>
      <c r="F75" s="182">
        <f t="shared" si="0"/>
        <v>4975</v>
      </c>
      <c r="G75" s="182">
        <f t="shared" si="1"/>
        <v>5975</v>
      </c>
    </row>
    <row r="77" spans="1:7">
      <c r="A77" s="101" t="s">
        <v>294</v>
      </c>
      <c r="C77" s="180">
        <f>SUMPRODUCT(G68:G75,D68:D75)/SUMPRODUCT(F68:F75,B68:B75)-1</f>
        <v>0.37963570127504642</v>
      </c>
    </row>
    <row r="78" spans="1:7">
      <c r="A78" s="101" t="s">
        <v>293</v>
      </c>
      <c r="C78" s="107">
        <f>C55</f>
        <v>0.03</v>
      </c>
    </row>
    <row r="79" spans="1:7">
      <c r="A79" s="101" t="s">
        <v>292</v>
      </c>
      <c r="C79" s="101">
        <v>-0.05</v>
      </c>
    </row>
    <row r="80" spans="1:7">
      <c r="C80" s="181">
        <f>(1+C77)*(1+C78)*(1+C79)-1</f>
        <v>0.34997353369763284</v>
      </c>
      <c r="D80" s="101" t="s">
        <v>291</v>
      </c>
    </row>
    <row r="81" spans="1:4">
      <c r="C81" s="180">
        <f>(1+C78)*(1+C77)-1</f>
        <v>0.42102477231329782</v>
      </c>
      <c r="D81" s="101" t="s">
        <v>290</v>
      </c>
    </row>
    <row r="83" spans="1:4">
      <c r="A83" s="101" t="s">
        <v>289</v>
      </c>
    </row>
    <row r="84" spans="1:4">
      <c r="A84" s="101" t="s">
        <v>288</v>
      </c>
    </row>
    <row r="85" spans="1:4">
      <c r="A85" s="101" t="s">
        <v>287</v>
      </c>
    </row>
    <row r="86" spans="1:4">
      <c r="A86" s="101" t="s">
        <v>286</v>
      </c>
    </row>
    <row r="87" spans="1:4">
      <c r="A87" s="101" t="s">
        <v>285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C89C35-2098-4B50-B2DB-69B62F0037E9}"/>
</file>

<file path=customXml/itemProps2.xml><?xml version="1.0" encoding="utf-8"?>
<ds:datastoreItem xmlns:ds="http://schemas.openxmlformats.org/officeDocument/2006/customXml" ds:itemID="{7A55A27E-74AB-412E-A0EC-1B345BA1693E}"/>
</file>

<file path=customXml/itemProps3.xml><?xml version="1.0" encoding="utf-8"?>
<ds:datastoreItem xmlns:ds="http://schemas.openxmlformats.org/officeDocument/2006/customXml" ds:itemID="{3960FA91-FC88-45B4-9154-7D0EBD6BCF22}"/>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Q1 Part B</vt:lpstr>
      <vt:lpstr>Q3 Solution</vt:lpstr>
      <vt:lpstr>Q4 Solution</vt:lpstr>
      <vt:lpstr>Q5</vt:lpstr>
      <vt:lpstr>Q6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Aleshia Zionce</cp:lastModifiedBy>
  <dcterms:created xsi:type="dcterms:W3CDTF">2026-04-12T19:36:43Z</dcterms:created>
  <dcterms:modified xsi:type="dcterms:W3CDTF">2026-05-04T14:22:53Z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