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0-NEW FSA Exams/March 2026/ILA 101/"/>
    </mc:Choice>
  </mc:AlternateContent>
  <xr:revisionPtr revIDLastSave="6" documentId="8_{F51D6E0F-CF3F-48EF-A946-513C93C0B43C}" xr6:coauthVersionLast="47" xr6:coauthVersionMax="47" xr10:uidLastSave="{B50973E4-9515-46B1-9DF1-1DCDD9234497}"/>
  <bookViews>
    <workbookView xWindow="-105" yWindow="0" windowWidth="14610" windowHeight="15585" tabRatio="817" firstSheet="3" activeTab="8" xr2:uid="{00000000-000D-0000-FFFF-FFFF00000000}"/>
  </bookViews>
  <sheets>
    <sheet name="Question 1 (a)" sheetId="38" r:id="rId1"/>
    <sheet name="Question 1 (b)" sheetId="39" r:id="rId2"/>
    <sheet name="Question 1 (c)" sheetId="40" r:id="rId3"/>
    <sheet name="Q3" sheetId="41" r:id="rId4"/>
    <sheet name="Q5 b i" sheetId="42" r:id="rId5"/>
    <sheet name="Q5 b ii" sheetId="43" r:id="rId6"/>
    <sheet name="Question 6 (a)" sheetId="44" r:id="rId7"/>
    <sheet name="Question 7 (a)" sheetId="45" r:id="rId8"/>
    <sheet name="Question 7 (b)" sheetId="46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mtReinsured">'[1]Q2 Assumptions'!$B$17</definedName>
    <definedName name="CededPrem_Yr1">'[1]Q2 Assumptions'!$B$19</definedName>
    <definedName name="CededPrem_Yr2">'[1]Q2 Assumptions'!$B$20</definedName>
    <definedName name="CededRsv" localSheetId="3">'[3]WL-2-2024 Assumption'!$B$27</definedName>
    <definedName name="CededRsv" localSheetId="4">'[3]WL-2-2024 Assumption'!$B$27</definedName>
    <definedName name="CededRsv" localSheetId="5">'[3]WL-2-2024 Assumption'!$B$27</definedName>
    <definedName name="CededRsv">'[2]WL-2-2024 Assumption'!$B$27</definedName>
    <definedName name="CededRsv_Yr1">'[1]Q2 Assumptions'!$B$23</definedName>
    <definedName name="CededRsv_Yr2">'[1]Q2 Assumptions'!$B$24</definedName>
    <definedName name="cedp">'[4]Question 5 (b)(i)'!$B$47</definedName>
    <definedName name="CessionFee">'[1]Q2 Assumptions'!$B$21</definedName>
    <definedName name="CognitiveLevels" localSheetId="3">'[3]syllabus list'!$B$86:$B$89</definedName>
    <definedName name="CognitiveLevels" localSheetId="4">'[3]syllabus list'!$B$86:$B$89</definedName>
    <definedName name="CognitiveLevels" localSheetId="5">'[3]syllabus list'!$B$86:$B$89</definedName>
    <definedName name="CognitiveLevels">'[2]syllabus list'!$B$86:$B$89</definedName>
    <definedName name="Coins" localSheetId="6">'[9]Question 5 (b)(ii)'!$B$24</definedName>
    <definedName name="Coins">'[5]Question 5 (b)(ii)'!$B$24</definedName>
    <definedName name="CoinsurancePrem" localSheetId="3">'[3]WL-2-2024 Assumption'!$B$26</definedName>
    <definedName name="CoinsurancePrem" localSheetId="4">'[3]WL-2-2024 Assumption'!$B$26</definedName>
    <definedName name="CoinsurancePrem" localSheetId="5">'[3]WL-2-2024 Assumption'!$B$26</definedName>
    <definedName name="CoinsurancePrem">'[2]WL-2-2024 Assumption'!$B$26</definedName>
    <definedName name="Comm_Yr1">'[1]Q2 Assumptions'!$B$9</definedName>
    <definedName name="Comm_Yr2">'[1]Q2 Assumptions'!$B$10</definedName>
    <definedName name="Death_Yr1" localSheetId="3">#REF!</definedName>
    <definedName name="Death_Yr1" localSheetId="6">#REF!</definedName>
    <definedName name="Death_Yr1">#REF!</definedName>
    <definedName name="Death_Yr2">'[1]Q2 Assumptions'!$G$3</definedName>
    <definedName name="DirectRsv" localSheetId="3">'[3]WL-2-2024 Assumption'!$B$6</definedName>
    <definedName name="DirectRsv" localSheetId="4">'[3]WL-2-2024 Assumption'!$B$6</definedName>
    <definedName name="DirectRsv" localSheetId="5">'[3]WL-2-2024 Assumption'!$B$6</definedName>
    <definedName name="DirectRsv">'[2]WL-2-2024 Assumption'!$B$6</definedName>
    <definedName name="DirectRsv_Yr1">'[1]Q2 Assumptions'!$B$6</definedName>
    <definedName name="DirectRsv_Yr2">'[1]Q2 Assumptions'!$B$7</definedName>
    <definedName name="EOYInforce_Yr1">'[1]Q2 Assumptions'!$F$2</definedName>
    <definedName name="EOYInforce_Yr2">'[1]Q2 Assumptions'!$F$3</definedName>
    <definedName name="FA">'[1]Q2 Assumptions'!$B$2</definedName>
    <definedName name="GrossPrem">'[1]Q2 Assumptions'!$B$3</definedName>
    <definedName name="IntRate_Direct">'[1]Q2 Assumptions'!$F$7</definedName>
    <definedName name="IntRate_Reins">'[1]Q2 Assumptions'!$G$7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utcomeList" localSheetId="3">'[3]syllabus list'!$A$86:$A$90</definedName>
    <definedName name="LOutcomeList" localSheetId="4">'[3]syllabus list'!$A$86:$A$90</definedName>
    <definedName name="LOutcomeList" localSheetId="5">'[3]syllabus list'!$A$86:$A$90</definedName>
    <definedName name="LOutcomeList">'[2]syllabus list'!$A$86:$A$90</definedName>
    <definedName name="MaintExp">'[1]Q2 Assumptions'!$B$14</definedName>
    <definedName name="ME_fee" localSheetId="6">'[11]64654_'!$B$8</definedName>
    <definedName name="ME_fee">'[7]Question 6 (a)'!$B$8</definedName>
    <definedName name="PolicyFee">'[1]Q2 Assumptions'!$B$4</definedName>
    <definedName name="PremTax">'[1]Q2 Assumptions'!$B$11</definedName>
    <definedName name="Q_sources" localSheetId="3">'[3]AL-2-2024'!$C$9:$L$16</definedName>
    <definedName name="Q_sources" localSheetId="4">'[3]AL-2-2024'!$C$9:$L$16</definedName>
    <definedName name="Q_sources" localSheetId="5">'[3]AL-2-2024'!$C$9:$L$16</definedName>
    <definedName name="Q_sources">'[2]AL-2-2024'!$C$9:$L$16</definedName>
    <definedName name="ReinsExp_Issue">'[1]Q2 Assumptions'!$B$26</definedName>
    <definedName name="ReinsExp_Maint">'[1]Q2 Assumptions'!$B$27</definedName>
    <definedName name="RiderFee" localSheetId="6">'[11]64654_'!$B$9</definedName>
    <definedName name="RiderFee">'[7]Question 6 (a)'!$B$9</definedName>
    <definedName name="SourceList" localSheetId="3">#REF!</definedName>
    <definedName name="SourceList" localSheetId="6">#REF!</definedName>
    <definedName name="SourceList">#REF!</definedName>
    <definedName name="Surplus_Direct">'[1]Q2 Assumptions'!$F$6</definedName>
    <definedName name="Surplus_Reins">'[1]Q2 Assumptions'!$G$6</definedName>
    <definedName name="SyllabusListing" localSheetId="3">'[3]syllabus list'!$B$4:$B$84</definedName>
    <definedName name="SyllabusListing" localSheetId="4">'[3]syllabus list'!$B$4:$B$84</definedName>
    <definedName name="SyllabusListing" localSheetId="5">'[3]syllabus list'!$B$4:$B$84</definedName>
    <definedName name="SyllabusListing">'[2]syllabus list'!$B$4:$B$84</definedName>
    <definedName name="TaxRate" localSheetId="6">'[12]Question 7 (a)'!$B$30</definedName>
    <definedName name="TaxRate">'[7]Question 7 (a)'!$B$30</definedName>
    <definedName name="UWExp">'[1]Q2 Assumptions'!$B$13</definedName>
    <definedName name="Year" localSheetId="3">[3]Instructions!$E$2</definedName>
    <definedName name="Year" localSheetId="4">[3]Instructions!$E$2</definedName>
    <definedName name="Year" localSheetId="5">[3]Instructions!$E$2</definedName>
    <definedName name="Year">[2]Instructions!$E$2</definedName>
    <definedName name="YRTFA" localSheetId="3">'[3]WL-2-2024 Assumption'!$B$22</definedName>
    <definedName name="YRTFA" localSheetId="4">'[3]WL-2-2024 Assumption'!$B$22</definedName>
    <definedName name="YRTFA" localSheetId="5">'[3]WL-2-2024 Assumption'!$B$22</definedName>
    <definedName name="YRTFA">'[2]WL-2-2024 Assumption'!$B$22</definedName>
    <definedName name="YRTPrem" localSheetId="3">'[3]WL-2-2024 Assumption'!$B$25</definedName>
    <definedName name="YRTPrem" localSheetId="4">'[3]WL-2-2024 Assumption'!$B$25</definedName>
    <definedName name="YRTPrem" localSheetId="5">'[3]WL-2-2024 Assumption'!$B$25</definedName>
    <definedName name="YRTPrem">'[2]WL-2-2024 Assumption'!$B$25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46" l="1"/>
  <c r="C30" i="46"/>
  <c r="D30" i="46"/>
  <c r="E30" i="46"/>
  <c r="F30" i="46"/>
  <c r="G30" i="46"/>
  <c r="B31" i="46"/>
  <c r="C31" i="46"/>
  <c r="D31" i="46"/>
  <c r="D32" i="46" s="1"/>
  <c r="D33" i="46" s="1"/>
  <c r="E31" i="46"/>
  <c r="E32" i="46" s="1"/>
  <c r="E33" i="46" s="1"/>
  <c r="F31" i="46"/>
  <c r="F32" i="46" s="1"/>
  <c r="F33" i="46" s="1"/>
  <c r="G31" i="46"/>
  <c r="G32" i="46" s="1"/>
  <c r="G33" i="46" s="1"/>
  <c r="B32" i="46"/>
  <c r="B33" i="46" s="1"/>
  <c r="C32" i="46"/>
  <c r="C33" i="46" s="1"/>
  <c r="B30" i="45"/>
  <c r="C30" i="45"/>
  <c r="D30" i="45"/>
  <c r="E30" i="45"/>
  <c r="F30" i="45"/>
  <c r="G30" i="45"/>
  <c r="B31" i="45"/>
  <c r="B33" i="45" s="1"/>
  <c r="B34" i="45" s="1"/>
  <c r="B36" i="45" s="1"/>
  <c r="C31" i="45"/>
  <c r="C33" i="45" s="1"/>
  <c r="C34" i="45" s="1"/>
  <c r="C36" i="45" s="1"/>
  <c r="D31" i="45"/>
  <c r="D33" i="45" s="1"/>
  <c r="D34" i="45" s="1"/>
  <c r="D36" i="45" s="1"/>
  <c r="E31" i="45"/>
  <c r="E33" i="45" s="1"/>
  <c r="E34" i="45" s="1"/>
  <c r="E36" i="45" s="1"/>
  <c r="F31" i="45"/>
  <c r="F33" i="45" s="1"/>
  <c r="F34" i="45" s="1"/>
  <c r="F36" i="45" s="1"/>
  <c r="G31" i="45"/>
  <c r="G33" i="45" s="1"/>
  <c r="G34" i="45" s="1"/>
  <c r="G36" i="45" s="1"/>
  <c r="B32" i="45"/>
  <c r="C32" i="45"/>
  <c r="D32" i="45"/>
  <c r="E32" i="45"/>
  <c r="F32" i="45"/>
  <c r="G32" i="45"/>
  <c r="D34" i="46" l="1"/>
  <c r="D36" i="46" s="1"/>
  <c r="D42" i="46" s="1"/>
  <c r="D39" i="46"/>
  <c r="D40" i="46" s="1"/>
  <c r="C39" i="46"/>
  <c r="C40" i="46" s="1"/>
  <c r="B34" i="46"/>
  <c r="B36" i="46" s="1"/>
  <c r="B42" i="46" s="1"/>
  <c r="C34" i="46"/>
  <c r="C36" i="46" s="1"/>
  <c r="C42" i="46" s="1"/>
  <c r="G34" i="46"/>
  <c r="G36" i="46" s="1"/>
  <c r="G42" i="46" s="1"/>
  <c r="G39" i="46"/>
  <c r="G40" i="46" s="1"/>
  <c r="E34" i="46"/>
  <c r="E36" i="46" s="1"/>
  <c r="E42" i="46" s="1"/>
  <c r="E39" i="46"/>
  <c r="E40" i="46" s="1"/>
  <c r="F34" i="46"/>
  <c r="F36" i="46" s="1"/>
  <c r="F42" i="46" s="1"/>
  <c r="F39" i="46"/>
  <c r="F40" i="46" s="1"/>
  <c r="D27" i="44" l="1"/>
  <c r="I27" i="44" s="1"/>
  <c r="I38" i="44" s="1"/>
  <c r="F27" i="44"/>
  <c r="J27" i="44"/>
  <c r="C28" i="44"/>
  <c r="C29" i="44" s="1"/>
  <c r="C30" i="44" s="1"/>
  <c r="C31" i="44" s="1"/>
  <c r="C32" i="44" s="1"/>
  <c r="C33" i="44" s="1"/>
  <c r="C34" i="44" s="1"/>
  <c r="C35" i="44" s="1"/>
  <c r="C36" i="44" s="1"/>
  <c r="C37" i="44" s="1"/>
  <c r="F28" i="44"/>
  <c r="F29" i="44" s="1"/>
  <c r="F30" i="44" s="1"/>
  <c r="F31" i="44" s="1"/>
  <c r="F32" i="44" s="1"/>
  <c r="F33" i="44" s="1"/>
  <c r="F34" i="44" s="1"/>
  <c r="F35" i="44" s="1"/>
  <c r="F36" i="44" s="1"/>
  <c r="F37" i="44" s="1"/>
  <c r="N28" i="44"/>
  <c r="D28" i="44" l="1"/>
  <c r="L27" i="44"/>
  <c r="M27" i="44" s="1"/>
  <c r="J28" i="44"/>
  <c r="N29" i="44"/>
  <c r="B3" i="43"/>
  <c r="B4" i="43"/>
  <c r="B5" i="43"/>
  <c r="B7" i="43"/>
  <c r="F23" i="43" s="1"/>
  <c r="B8" i="43"/>
  <c r="F8" i="43"/>
  <c r="F9" i="43"/>
  <c r="F46" i="43" s="1"/>
  <c r="B10" i="43"/>
  <c r="F30" i="43" s="1"/>
  <c r="F34" i="43" s="1"/>
  <c r="F10" i="43"/>
  <c r="B11" i="43"/>
  <c r="F67" i="43" s="1"/>
  <c r="F71" i="43" s="1"/>
  <c r="B12" i="43"/>
  <c r="K13" i="43"/>
  <c r="B15" i="43"/>
  <c r="B17" i="43"/>
  <c r="B18" i="43"/>
  <c r="B20" i="43"/>
  <c r="B21" i="43"/>
  <c r="B22" i="43"/>
  <c r="B23" i="43"/>
  <c r="B25" i="43"/>
  <c r="F15" i="43" s="1"/>
  <c r="B26" i="43"/>
  <c r="B29" i="43"/>
  <c r="F12" i="43" s="1"/>
  <c r="F14" i="43" s="1"/>
  <c r="B30" i="43"/>
  <c r="B31" i="43"/>
  <c r="F31" i="43"/>
  <c r="G31" i="43"/>
  <c r="B32" i="43"/>
  <c r="F69" i="43" s="1"/>
  <c r="F32" i="43"/>
  <c r="G32" i="43"/>
  <c r="F33" i="43"/>
  <c r="B35" i="43"/>
  <c r="G12" i="43" s="1"/>
  <c r="G14" i="43" s="1"/>
  <c r="B36" i="43"/>
  <c r="B37" i="43"/>
  <c r="B38" i="43"/>
  <c r="F45" i="43"/>
  <c r="G69" i="43"/>
  <c r="F70" i="43"/>
  <c r="B3" i="42"/>
  <c r="B4" i="42"/>
  <c r="B5" i="42"/>
  <c r="B7" i="42"/>
  <c r="B8" i="42"/>
  <c r="F8" i="42"/>
  <c r="B10" i="42"/>
  <c r="F30" i="42" s="1"/>
  <c r="F34" i="42" s="1"/>
  <c r="B11" i="42"/>
  <c r="B12" i="42"/>
  <c r="J12" i="42"/>
  <c r="K13" i="42"/>
  <c r="B15" i="42"/>
  <c r="F9" i="42" s="1"/>
  <c r="B17" i="42"/>
  <c r="B18" i="42"/>
  <c r="B20" i="42"/>
  <c r="B21" i="42"/>
  <c r="B22" i="42"/>
  <c r="B23" i="42"/>
  <c r="F23" i="42"/>
  <c r="B25" i="42"/>
  <c r="B26" i="42"/>
  <c r="B29" i="42"/>
  <c r="B30" i="42"/>
  <c r="B31" i="42"/>
  <c r="F31" i="42"/>
  <c r="G31" i="42"/>
  <c r="B32" i="42"/>
  <c r="F32" i="42"/>
  <c r="G32" i="42"/>
  <c r="F33" i="42"/>
  <c r="B35" i="42"/>
  <c r="G12" i="42" s="1"/>
  <c r="G14" i="42" s="1"/>
  <c r="B36" i="42"/>
  <c r="B37" i="42"/>
  <c r="B38" i="42"/>
  <c r="B42" i="42"/>
  <c r="F45" i="42"/>
  <c r="F60" i="42"/>
  <c r="F67" i="42"/>
  <c r="F69" i="42"/>
  <c r="G69" i="42"/>
  <c r="F70" i="42"/>
  <c r="F71" i="42"/>
  <c r="D29" i="44" l="1"/>
  <c r="L28" i="44"/>
  <c r="M28" i="44" s="1"/>
  <c r="N30" i="44"/>
  <c r="J29" i="44"/>
  <c r="J12" i="43"/>
  <c r="F24" i="43"/>
  <c r="F60" i="43"/>
  <c r="F17" i="43"/>
  <c r="F52" i="43"/>
  <c r="G45" i="43"/>
  <c r="F47" i="43"/>
  <c r="G8" i="43"/>
  <c r="F15" i="42"/>
  <c r="G33" i="42" s="1"/>
  <c r="G34" i="42" s="1"/>
  <c r="G8" i="42"/>
  <c r="G10" i="42" s="1"/>
  <c r="G17" i="42" s="1"/>
  <c r="F10" i="42"/>
  <c r="F12" i="42"/>
  <c r="F14" i="42" s="1"/>
  <c r="J49" i="42"/>
  <c r="F24" i="42"/>
  <c r="B43" i="42"/>
  <c r="B44" i="42" s="1"/>
  <c r="B45" i="42" s="1"/>
  <c r="B47" i="42" s="1"/>
  <c r="L29" i="44" l="1"/>
  <c r="M29" i="44" s="1"/>
  <c r="D30" i="44"/>
  <c r="J30" i="44"/>
  <c r="N31" i="44"/>
  <c r="G10" i="43"/>
  <c r="G17" i="43" s="1"/>
  <c r="G30" i="43"/>
  <c r="G33" i="43"/>
  <c r="G67" i="43"/>
  <c r="G70" i="43"/>
  <c r="G47" i="43"/>
  <c r="F36" i="43"/>
  <c r="J17" i="43" s="1"/>
  <c r="J18" i="43" s="1"/>
  <c r="J49" i="43"/>
  <c r="F61" i="43"/>
  <c r="F62" i="43"/>
  <c r="F64" i="43" s="1"/>
  <c r="J13" i="43"/>
  <c r="G23" i="43"/>
  <c r="J14" i="43"/>
  <c r="J15" i="43" s="1"/>
  <c r="F25" i="43"/>
  <c r="F27" i="43" s="1"/>
  <c r="F61" i="42"/>
  <c r="F46" i="42"/>
  <c r="F25" i="42"/>
  <c r="F27" i="42" s="1"/>
  <c r="J13" i="42"/>
  <c r="J14" i="42" s="1"/>
  <c r="J15" i="42" s="1"/>
  <c r="G23" i="42"/>
  <c r="F17" i="42"/>
  <c r="F36" i="42" s="1"/>
  <c r="J17" i="42" s="1"/>
  <c r="J18" i="42" s="1"/>
  <c r="D31" i="44" l="1"/>
  <c r="L30" i="44"/>
  <c r="M30" i="44" s="1"/>
  <c r="N32" i="44"/>
  <c r="J31" i="44"/>
  <c r="F50" i="43"/>
  <c r="J20" i="43"/>
  <c r="J7" i="43"/>
  <c r="J8" i="43" s="1"/>
  <c r="K12" i="43"/>
  <c r="K14" i="43" s="1"/>
  <c r="K15" i="43" s="1"/>
  <c r="G25" i="43"/>
  <c r="G27" i="43" s="1"/>
  <c r="J50" i="43"/>
  <c r="G60" i="43"/>
  <c r="J51" i="43"/>
  <c r="J52" i="43" s="1"/>
  <c r="F49" i="43"/>
  <c r="F51" i="43" s="1"/>
  <c r="F54" i="43" s="1"/>
  <c r="F73" i="43" s="1"/>
  <c r="J54" i="43" s="1"/>
  <c r="J55" i="43" s="1"/>
  <c r="G71" i="43"/>
  <c r="G34" i="43"/>
  <c r="G36" i="43"/>
  <c r="K17" i="43" s="1"/>
  <c r="K18" i="43" s="1"/>
  <c r="G49" i="43" s="1"/>
  <c r="K12" i="42"/>
  <c r="K14" i="42" s="1"/>
  <c r="K15" i="42" s="1"/>
  <c r="G25" i="42"/>
  <c r="G27" i="42" s="1"/>
  <c r="G36" i="42" s="1"/>
  <c r="K17" i="42" s="1"/>
  <c r="K18" i="42" s="1"/>
  <c r="G49" i="42" s="1"/>
  <c r="F49" i="42"/>
  <c r="F50" i="42"/>
  <c r="J20" i="42"/>
  <c r="J7" i="42"/>
  <c r="J8" i="42" s="1"/>
  <c r="F52" i="42"/>
  <c r="G45" i="42"/>
  <c r="F47" i="42"/>
  <c r="J50" i="42"/>
  <c r="J51" i="42" s="1"/>
  <c r="J52" i="42" s="1"/>
  <c r="G60" i="42"/>
  <c r="F62" i="42"/>
  <c r="F64" i="42" s="1"/>
  <c r="L31" i="44" l="1"/>
  <c r="M31" i="44" s="1"/>
  <c r="D32" i="44"/>
  <c r="N33" i="44"/>
  <c r="J32" i="44"/>
  <c r="J44" i="43"/>
  <c r="J45" i="43" s="1"/>
  <c r="J57" i="43"/>
  <c r="K49" i="43"/>
  <c r="K51" i="43" s="1"/>
  <c r="K52" i="43" s="1"/>
  <c r="G62" i="43"/>
  <c r="G64" i="43" s="1"/>
  <c r="K20" i="43"/>
  <c r="K7" i="43"/>
  <c r="K8" i="43" s="1"/>
  <c r="G50" i="43"/>
  <c r="G51" i="43" s="1"/>
  <c r="G54" i="43" s="1"/>
  <c r="G73" i="43" s="1"/>
  <c r="K54" i="43" s="1"/>
  <c r="K55" i="43" s="1"/>
  <c r="G62" i="42"/>
  <c r="G64" i="42" s="1"/>
  <c r="K49" i="42"/>
  <c r="K51" i="42" s="1"/>
  <c r="K52" i="42" s="1"/>
  <c r="G47" i="42"/>
  <c r="G70" i="42"/>
  <c r="G71" i="42" s="1"/>
  <c r="F51" i="42"/>
  <c r="F54" i="42" s="1"/>
  <c r="F73" i="42" s="1"/>
  <c r="J54" i="42" s="1"/>
  <c r="J55" i="42" s="1"/>
  <c r="K20" i="42"/>
  <c r="K7" i="42"/>
  <c r="K8" i="42" s="1"/>
  <c r="G50" i="42"/>
  <c r="G51" i="42" s="1"/>
  <c r="D33" i="44" l="1"/>
  <c r="L32" i="44"/>
  <c r="M32" i="44" s="1"/>
  <c r="N34" i="44"/>
  <c r="J33" i="44"/>
  <c r="K44" i="43"/>
  <c r="K45" i="43" s="1"/>
  <c r="K57" i="43"/>
  <c r="J57" i="42"/>
  <c r="J44" i="42"/>
  <c r="J45" i="42" s="1"/>
  <c r="G54" i="42"/>
  <c r="G73" i="42" s="1"/>
  <c r="K54" i="42" s="1"/>
  <c r="K55" i="42" s="1"/>
  <c r="K57" i="42"/>
  <c r="K44" i="42"/>
  <c r="K45" i="42" s="1"/>
  <c r="L33" i="44" l="1"/>
  <c r="M33" i="44" s="1"/>
  <c r="D34" i="44"/>
  <c r="J34" i="44"/>
  <c r="N35" i="44"/>
  <c r="D34" i="41"/>
  <c r="E34" i="41"/>
  <c r="C35" i="41" s="1"/>
  <c r="F34" i="41"/>
  <c r="D35" i="41"/>
  <c r="D36" i="41"/>
  <c r="D37" i="41"/>
  <c r="D38" i="41"/>
  <c r="D39" i="41"/>
  <c r="D40" i="41"/>
  <c r="E61" i="41"/>
  <c r="F62" i="41"/>
  <c r="F63" i="41"/>
  <c r="F64" i="41" s="1"/>
  <c r="F65" i="41" s="1"/>
  <c r="F66" i="41" s="1"/>
  <c r="F67" i="41" s="1"/>
  <c r="D35" i="44" l="1"/>
  <c r="L34" i="44"/>
  <c r="M34" i="44" s="1"/>
  <c r="N36" i="44"/>
  <c r="J36" i="44" s="1"/>
  <c r="J38" i="44" s="1"/>
  <c r="J35" i="44"/>
  <c r="E35" i="41"/>
  <c r="F35" i="41" s="1"/>
  <c r="E62" i="41"/>
  <c r="E45" i="40"/>
  <c r="E45" i="39"/>
  <c r="E45" i="38"/>
  <c r="D53" i="40"/>
  <c r="B49" i="40"/>
  <c r="D36" i="40"/>
  <c r="F36" i="40" s="1"/>
  <c r="C37" i="40"/>
  <c r="D37" i="40" s="1"/>
  <c r="F37" i="40" s="1"/>
  <c r="E35" i="40"/>
  <c r="G35" i="40" s="1"/>
  <c r="G36" i="40" s="1"/>
  <c r="C49" i="39"/>
  <c r="E49" i="39" s="1"/>
  <c r="C58" i="39"/>
  <c r="E58" i="39" s="1"/>
  <c r="C57" i="39"/>
  <c r="D57" i="39" s="1"/>
  <c r="C56" i="39"/>
  <c r="E56" i="39" s="1"/>
  <c r="C55" i="39"/>
  <c r="E55" i="39" s="1"/>
  <c r="C54" i="39"/>
  <c r="E54" i="39" s="1"/>
  <c r="C53" i="39"/>
  <c r="D53" i="39" s="1"/>
  <c r="C52" i="39"/>
  <c r="E52" i="39" s="1"/>
  <c r="C51" i="39"/>
  <c r="E51" i="39" s="1"/>
  <c r="C50" i="39"/>
  <c r="E50" i="39" s="1"/>
  <c r="D36" i="39"/>
  <c r="F36" i="39" s="1"/>
  <c r="J49" i="39" s="1"/>
  <c r="C37" i="39"/>
  <c r="D37" i="39" s="1"/>
  <c r="E35" i="39"/>
  <c r="G35" i="39" s="1"/>
  <c r="H49" i="38"/>
  <c r="E51" i="38"/>
  <c r="E52" i="38"/>
  <c r="E53" i="38"/>
  <c r="D51" i="38"/>
  <c r="D49" i="38"/>
  <c r="C51" i="38"/>
  <c r="C52" i="38"/>
  <c r="D52" i="38" s="1"/>
  <c r="C53" i="38"/>
  <c r="D53" i="38" s="1"/>
  <c r="C54" i="38"/>
  <c r="E54" i="38" s="1"/>
  <c r="C55" i="38"/>
  <c r="E55" i="38" s="1"/>
  <c r="C56" i="38"/>
  <c r="E56" i="38" s="1"/>
  <c r="C57" i="38"/>
  <c r="C58" i="38"/>
  <c r="E58" i="38" s="1"/>
  <c r="C50" i="38"/>
  <c r="D50" i="38" s="1"/>
  <c r="C49" i="38"/>
  <c r="E49" i="38" s="1"/>
  <c r="E35" i="38"/>
  <c r="G35" i="38" s="1"/>
  <c r="F49" i="38" s="1"/>
  <c r="E36" i="38"/>
  <c r="D41" i="38"/>
  <c r="H54" i="38" s="1"/>
  <c r="D42" i="38"/>
  <c r="H55" i="38" s="1"/>
  <c r="D36" i="38"/>
  <c r="F36" i="38" s="1"/>
  <c r="J49" i="38" s="1"/>
  <c r="C37" i="38"/>
  <c r="C38" i="38" s="1"/>
  <c r="C39" i="38" s="1"/>
  <c r="C40" i="38" s="1"/>
  <c r="C41" i="38" s="1"/>
  <c r="C42" i="38" s="1"/>
  <c r="C43" i="38" s="1"/>
  <c r="C44" i="38" s="1"/>
  <c r="C45" i="38" s="1"/>
  <c r="L35" i="44" l="1"/>
  <c r="M35" i="44" s="1"/>
  <c r="D36" i="44"/>
  <c r="C36" i="41"/>
  <c r="E50" i="38"/>
  <c r="D43" i="38"/>
  <c r="H56" i="38" s="1"/>
  <c r="I54" i="38"/>
  <c r="G36" i="39"/>
  <c r="F50" i="39" s="1"/>
  <c r="E44" i="38"/>
  <c r="E43" i="38"/>
  <c r="D45" i="38"/>
  <c r="F45" i="38" s="1"/>
  <c r="J58" i="38" s="1"/>
  <c r="K58" i="38" s="1"/>
  <c r="E41" i="38"/>
  <c r="D44" i="38"/>
  <c r="H57" i="38" s="1"/>
  <c r="E40" i="38"/>
  <c r="G37" i="40"/>
  <c r="F54" i="40" s="1"/>
  <c r="F52" i="40"/>
  <c r="E36" i="40"/>
  <c r="F53" i="40"/>
  <c r="C38" i="40"/>
  <c r="H49" i="39"/>
  <c r="I49" i="39" s="1"/>
  <c r="F37" i="39"/>
  <c r="J50" i="39" s="1"/>
  <c r="K50" i="39" s="1"/>
  <c r="H50" i="39"/>
  <c r="I50" i="39" s="1"/>
  <c r="E57" i="39"/>
  <c r="E36" i="39"/>
  <c r="C38" i="39"/>
  <c r="E53" i="39"/>
  <c r="F49" i="39"/>
  <c r="D49" i="39"/>
  <c r="L54" i="38"/>
  <c r="E57" i="38"/>
  <c r="D57" i="38"/>
  <c r="D58" i="38"/>
  <c r="I56" i="38"/>
  <c r="G49" i="38"/>
  <c r="I55" i="38"/>
  <c r="I49" i="38"/>
  <c r="F43" i="38"/>
  <c r="J56" i="38" s="1"/>
  <c r="K56" i="38" s="1"/>
  <c r="F42" i="38"/>
  <c r="J55" i="38" s="1"/>
  <c r="K55" i="38" s="1"/>
  <c r="D56" i="38"/>
  <c r="F41" i="38"/>
  <c r="J54" i="38" s="1"/>
  <c r="K54" i="38" s="1"/>
  <c r="D55" i="38"/>
  <c r="K49" i="38"/>
  <c r="D39" i="38"/>
  <c r="E39" i="38"/>
  <c r="D54" i="38"/>
  <c r="D38" i="38"/>
  <c r="E38" i="38"/>
  <c r="D37" i="38"/>
  <c r="E37" i="38"/>
  <c r="D50" i="39"/>
  <c r="G50" i="39" s="1"/>
  <c r="D54" i="39"/>
  <c r="D58" i="39"/>
  <c r="D51" i="39"/>
  <c r="D55" i="39"/>
  <c r="D52" i="39"/>
  <c r="D56" i="39"/>
  <c r="K49" i="39"/>
  <c r="D40" i="38"/>
  <c r="E42" i="38"/>
  <c r="G36" i="38"/>
  <c r="F50" i="38" s="1"/>
  <c r="G50" i="38" s="1"/>
  <c r="L36" i="44" l="1"/>
  <c r="M36" i="44" s="1"/>
  <c r="M38" i="44" s="1"/>
  <c r="D37" i="44"/>
  <c r="G37" i="44" s="1"/>
  <c r="E63" i="41"/>
  <c r="E36" i="41"/>
  <c r="F36" i="41" s="1"/>
  <c r="G49" i="39"/>
  <c r="I57" i="38"/>
  <c r="L49" i="38"/>
  <c r="F44" i="38"/>
  <c r="J57" i="38" s="1"/>
  <c r="K57" i="38" s="1"/>
  <c r="L56" i="38"/>
  <c r="H58" i="38"/>
  <c r="I58" i="38" s="1"/>
  <c r="L58" i="38" s="1"/>
  <c r="E37" i="40"/>
  <c r="D38" i="40"/>
  <c r="F38" i="40" s="1"/>
  <c r="G38" i="40" s="1"/>
  <c r="C39" i="40"/>
  <c r="C53" i="40"/>
  <c r="E53" i="40" s="1"/>
  <c r="L50" i="39"/>
  <c r="E37" i="39"/>
  <c r="C39" i="39"/>
  <c r="D38" i="39"/>
  <c r="G37" i="39"/>
  <c r="F38" i="38"/>
  <c r="J51" i="38" s="1"/>
  <c r="K51" i="38" s="1"/>
  <c r="H51" i="38"/>
  <c r="I51" i="38" s="1"/>
  <c r="F40" i="38"/>
  <c r="J53" i="38" s="1"/>
  <c r="K53" i="38" s="1"/>
  <c r="H53" i="38"/>
  <c r="I53" i="38" s="1"/>
  <c r="L53" i="38" s="1"/>
  <c r="F39" i="38"/>
  <c r="J52" i="38" s="1"/>
  <c r="K52" i="38" s="1"/>
  <c r="H52" i="38"/>
  <c r="I52" i="38" s="1"/>
  <c r="L52" i="38" s="1"/>
  <c r="L55" i="38"/>
  <c r="F37" i="38"/>
  <c r="H50" i="38"/>
  <c r="L49" i="39"/>
  <c r="H24" i="44" l="1"/>
  <c r="C37" i="41"/>
  <c r="L57" i="38"/>
  <c r="F55" i="40"/>
  <c r="D39" i="40"/>
  <c r="F39" i="40" s="1"/>
  <c r="G39" i="40" s="1"/>
  <c r="F56" i="40" s="1"/>
  <c r="E38" i="40"/>
  <c r="C40" i="40"/>
  <c r="D39" i="39"/>
  <c r="E38" i="39"/>
  <c r="C40" i="39"/>
  <c r="F38" i="39"/>
  <c r="J51" i="39" s="1"/>
  <c r="H51" i="39"/>
  <c r="F51" i="39"/>
  <c r="I50" i="38"/>
  <c r="H59" i="38"/>
  <c r="J50" i="38"/>
  <c r="G37" i="38"/>
  <c r="L51" i="38"/>
  <c r="E64" i="41" l="1"/>
  <c r="E37" i="41"/>
  <c r="F37" i="41" s="1"/>
  <c r="G38" i="39"/>
  <c r="E39" i="40"/>
  <c r="D40" i="40"/>
  <c r="F40" i="40" s="1"/>
  <c r="G40" i="40" s="1"/>
  <c r="F57" i="40" s="1"/>
  <c r="C41" i="40"/>
  <c r="F52" i="39"/>
  <c r="G52" i="39" s="1"/>
  <c r="G51" i="39"/>
  <c r="I51" i="39"/>
  <c r="K51" i="39"/>
  <c r="D40" i="39"/>
  <c r="C41" i="39"/>
  <c r="E39" i="39"/>
  <c r="F39" i="39"/>
  <c r="J52" i="39" s="1"/>
  <c r="K52" i="39" s="1"/>
  <c r="H52" i="39"/>
  <c r="I52" i="39" s="1"/>
  <c r="I59" i="38"/>
  <c r="G38" i="38"/>
  <c r="F51" i="38"/>
  <c r="K50" i="38"/>
  <c r="K59" i="38" s="1"/>
  <c r="J59" i="38"/>
  <c r="C38" i="41" l="1"/>
  <c r="L50" i="38"/>
  <c r="L59" i="38" s="1"/>
  <c r="E40" i="40"/>
  <c r="D41" i="40"/>
  <c r="F41" i="40" s="1"/>
  <c r="G41" i="40" s="1"/>
  <c r="F58" i="40" s="1"/>
  <c r="C42" i="40"/>
  <c r="G39" i="39"/>
  <c r="F53" i="39" s="1"/>
  <c r="G53" i="39" s="1"/>
  <c r="L52" i="39"/>
  <c r="F40" i="39"/>
  <c r="H53" i="39"/>
  <c r="I53" i="39" s="1"/>
  <c r="L51" i="39"/>
  <c r="C42" i="39"/>
  <c r="E40" i="39"/>
  <c r="D41" i="39"/>
  <c r="G51" i="38"/>
  <c r="G39" i="38"/>
  <c r="F52" i="38"/>
  <c r="G52" i="38" s="1"/>
  <c r="E65" i="41" l="1"/>
  <c r="E38" i="41"/>
  <c r="F38" i="41" s="1"/>
  <c r="D42" i="40"/>
  <c r="F42" i="40" s="1"/>
  <c r="G42" i="40" s="1"/>
  <c r="C43" i="40"/>
  <c r="E41" i="40"/>
  <c r="D42" i="39"/>
  <c r="C43" i="39"/>
  <c r="E41" i="39"/>
  <c r="G40" i="39"/>
  <c r="J53" i="39"/>
  <c r="F41" i="39"/>
  <c r="J54" i="39" s="1"/>
  <c r="K54" i="39" s="1"/>
  <c r="H54" i="39"/>
  <c r="F53" i="38"/>
  <c r="G53" i="38" s="1"/>
  <c r="G40" i="38"/>
  <c r="C39" i="41" l="1"/>
  <c r="E42" i="40"/>
  <c r="C44" i="40"/>
  <c r="D43" i="40"/>
  <c r="F43" i="40" s="1"/>
  <c r="F59" i="40"/>
  <c r="G43" i="40"/>
  <c r="F42" i="39"/>
  <c r="H55" i="39"/>
  <c r="I55" i="39" s="1"/>
  <c r="I54" i="39"/>
  <c r="K53" i="39"/>
  <c r="F54" i="39"/>
  <c r="G41" i="39"/>
  <c r="F55" i="39" s="1"/>
  <c r="G55" i="39" s="1"/>
  <c r="E42" i="39"/>
  <c r="D43" i="39"/>
  <c r="C44" i="39"/>
  <c r="G41" i="38"/>
  <c r="F54" i="38"/>
  <c r="G54" i="38" s="1"/>
  <c r="E66" i="41" l="1"/>
  <c r="E39" i="41"/>
  <c r="F39" i="41" s="1"/>
  <c r="F60" i="40"/>
  <c r="C45" i="40"/>
  <c r="E43" i="40"/>
  <c r="D44" i="40"/>
  <c r="F44" i="40" s="1"/>
  <c r="G44" i="40" s="1"/>
  <c r="F61" i="40" s="1"/>
  <c r="G42" i="39"/>
  <c r="F56" i="39" s="1"/>
  <c r="G56" i="39" s="1"/>
  <c r="J55" i="39"/>
  <c r="G54" i="39"/>
  <c r="L53" i="39"/>
  <c r="C45" i="39"/>
  <c r="E43" i="39"/>
  <c r="D44" i="39"/>
  <c r="L54" i="39"/>
  <c r="F43" i="39"/>
  <c r="H56" i="39"/>
  <c r="G42" i="38"/>
  <c r="F55" i="38"/>
  <c r="C40" i="41" l="1"/>
  <c r="G56" i="40"/>
  <c r="H56" i="40" s="1"/>
  <c r="E44" i="40"/>
  <c r="D45" i="40"/>
  <c r="F45" i="40" s="1"/>
  <c r="F62" i="40" s="1"/>
  <c r="F63" i="40" s="1"/>
  <c r="F44" i="39"/>
  <c r="H57" i="39"/>
  <c r="I57" i="39" s="1"/>
  <c r="D45" i="39"/>
  <c r="E44" i="39"/>
  <c r="I56" i="39"/>
  <c r="G43" i="39"/>
  <c r="F57" i="39" s="1"/>
  <c r="G57" i="39" s="1"/>
  <c r="J56" i="39"/>
  <c r="K56" i="39" s="1"/>
  <c r="K55" i="39"/>
  <c r="G55" i="38"/>
  <c r="G43" i="38"/>
  <c r="F56" i="38"/>
  <c r="G56" i="38" s="1"/>
  <c r="E67" i="41" l="1"/>
  <c r="C60" i="41" s="1"/>
  <c r="E40" i="41"/>
  <c r="F40" i="41" s="1"/>
  <c r="C44" i="41" s="1"/>
  <c r="G62" i="40"/>
  <c r="H62" i="40" s="1"/>
  <c r="G59" i="40"/>
  <c r="H59" i="40" s="1"/>
  <c r="G58" i="40"/>
  <c r="H58" i="40" s="1"/>
  <c r="G60" i="40"/>
  <c r="H60" i="40" s="1"/>
  <c r="G55" i="40"/>
  <c r="H55" i="40" s="1"/>
  <c r="G54" i="40"/>
  <c r="H54" i="40" s="1"/>
  <c r="G53" i="40"/>
  <c r="G57" i="40"/>
  <c r="H57" i="40" s="1"/>
  <c r="G61" i="40"/>
  <c r="H61" i="40" s="1"/>
  <c r="G59" i="39"/>
  <c r="G44" i="39"/>
  <c r="F58" i="39" s="1"/>
  <c r="G58" i="39" s="1"/>
  <c r="J57" i="39"/>
  <c r="L56" i="39"/>
  <c r="L55" i="39"/>
  <c r="F45" i="39"/>
  <c r="H58" i="39"/>
  <c r="G44" i="38"/>
  <c r="F57" i="38"/>
  <c r="G57" i="38" s="1"/>
  <c r="C41" i="41" l="1"/>
  <c r="C45" i="41" s="1"/>
  <c r="C47" i="41" s="1"/>
  <c r="H53" i="40"/>
  <c r="G63" i="40"/>
  <c r="F59" i="39"/>
  <c r="J58" i="39"/>
  <c r="K58" i="39" s="1"/>
  <c r="K57" i="39"/>
  <c r="J59" i="39"/>
  <c r="I58" i="39"/>
  <c r="H59" i="39"/>
  <c r="F58" i="38"/>
  <c r="C53" i="41" l="1"/>
  <c r="C55" i="41" s="1"/>
  <c r="C72" i="41" s="1"/>
  <c r="C62" i="41"/>
  <c r="C64" i="41" s="1"/>
  <c r="C74" i="41" s="1"/>
  <c r="C70" i="41"/>
  <c r="B65" i="40"/>
  <c r="H63" i="40"/>
  <c r="L58" i="39"/>
  <c r="I59" i="39"/>
  <c r="L57" i="39"/>
  <c r="K59" i="39"/>
  <c r="G58" i="38"/>
  <c r="G59" i="38" s="1"/>
  <c r="B61" i="38" s="1"/>
  <c r="D62" i="39" s="1"/>
  <c r="F59" i="38"/>
  <c r="L59" i="39" l="1"/>
  <c r="C65" i="39" s="1"/>
  <c r="B68" i="39" s="1"/>
</calcChain>
</file>

<file path=xl/sharedStrings.xml><?xml version="1.0" encoding="utf-8"?>
<sst xmlns="http://schemas.openxmlformats.org/spreadsheetml/2006/main" count="578" uniqueCount="269">
  <si>
    <t>ANSWER:</t>
  </si>
  <si>
    <t>(a)</t>
  </si>
  <si>
    <t>(b)</t>
  </si>
  <si>
    <t>Question 1 (b)</t>
  </si>
  <si>
    <t>Premium Tax</t>
  </si>
  <si>
    <t>Question 1 (a)</t>
  </si>
  <si>
    <t>Question 1 (c)</t>
  </si>
  <si>
    <t>(c)</t>
  </si>
  <si>
    <t>You are given the following information for a cohort of 10-year term policies: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</si>
  <si>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Premiums are level for the duration of the term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</si>
  <si>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Benefits are level for the duration of the term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</si>
  <si>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No cash values are applicable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</si>
  <si>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Premiums are annual and paid at the beginning of the year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</si>
  <si>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Death benefits are paid at the end of the year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</si>
  <si>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Assume no lapses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</si>
  <si>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Current discount rate is the same as the constant locked-in discount rate</t>
    </r>
  </si>
  <si>
    <t>Policy Year</t>
  </si>
  <si>
    <t>2-10</t>
  </si>
  <si>
    <t>Per Policy Mortality Rate</t>
  </si>
  <si>
    <t>Premium per Unit</t>
  </si>
  <si>
    <t>Locked-in Discount Rate</t>
  </si>
  <si>
    <t>Commission Rate (% of Premium)</t>
  </si>
  <si>
    <t>Per Policy Total Acquisition Expense</t>
  </si>
  <si>
    <t>Per Policy Direct Acquisition Expense</t>
  </si>
  <si>
    <t>Per Policy Maintenance Expense</t>
  </si>
  <si>
    <t>Per Death Claims Expense</t>
  </si>
  <si>
    <t>(a) (3 points) Calculate the US GAAP net premium ratio at issue for the term cohort.</t>
  </si>
  <si>
    <t>Show work below</t>
  </si>
  <si>
    <t>US GAAP net premium ratio at issue:</t>
  </si>
  <si>
    <t>(b) (2 points) Calculate the US GAAP reserve at issue for the term cohort.</t>
  </si>
  <si>
    <t>US GAAP reserve at issue:</t>
  </si>
  <si>
    <t>(c) (2 points) Calculate the DAC amortization for year 1 for the term cohort.</t>
  </si>
  <si>
    <t>DAC amortization for year 1:</t>
  </si>
  <si>
    <t>Responses for part (d) are to be provided in the Word document.</t>
  </si>
  <si>
    <t>Step 1: Calculate at issue expected lives and deaths</t>
  </si>
  <si>
    <t>Deaths Policy Count</t>
  </si>
  <si>
    <t>EOY Policies</t>
  </si>
  <si>
    <t>Unit Deaths</t>
  </si>
  <si>
    <t>EOY Units</t>
  </si>
  <si>
    <t>tpx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</si>
  <si>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Number of policies in cohort: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</si>
  <si>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Average units per policy: </t>
    </r>
  </si>
  <si>
    <t>Step 2: Calculate PV of benefits, expenses and premiums</t>
  </si>
  <si>
    <t>Discount Rate</t>
  </si>
  <si>
    <t>BOY Discount Factor</t>
  </si>
  <si>
    <t>EOY Discount Factor</t>
  </si>
  <si>
    <t>Premium</t>
  </si>
  <si>
    <t>PV Premium</t>
  </si>
  <si>
    <t>Claims Expense</t>
  </si>
  <si>
    <t>PV Claims Expense</t>
  </si>
  <si>
    <t>Death Benefit</t>
  </si>
  <si>
    <t>PV Death Benefit</t>
  </si>
  <si>
    <t>PV Benefits &amp; Expenses</t>
  </si>
  <si>
    <t>Cap at 100%</t>
  </si>
  <si>
    <t>TOTAL</t>
  </si>
  <si>
    <t>Step 1: Calculate at issue expected lives and deaths (From part a)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</si>
  <si>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Number of policies in cohort: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</si>
  <si>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Average units per policy:</t>
    </r>
  </si>
  <si>
    <t>Step 2: Calculate PV of benefits, expenses and premiums (From part a)</t>
  </si>
  <si>
    <t>Step 3: Calculate Net Premium Ratio at Issue (From part a)</t>
  </si>
  <si>
    <t>Step 4: GAAP Reserve at Issue</t>
  </si>
  <si>
    <t>V_0=</t>
  </si>
  <si>
    <t>Step 2: Calculatte deferrable commission rate</t>
  </si>
  <si>
    <t>=First Year commission rate - Ultimate commission rate</t>
  </si>
  <si>
    <t>Step 3: Calculate DAC</t>
  </si>
  <si>
    <t>Deferrable commission</t>
  </si>
  <si>
    <t>Deferrable Acquisition Expenses</t>
  </si>
  <si>
    <t>Total Deferrable Expenses</t>
  </si>
  <si>
    <t>Amortization %</t>
  </si>
  <si>
    <t>Amortization During Year</t>
  </si>
  <si>
    <t>Responses for part (a) are to be provided in the Word document.</t>
  </si>
  <si>
    <t>iii. Initial 7-pay annual premium:</t>
  </si>
  <si>
    <t>ii. Initial minimum death benefit under CVAT:</t>
  </si>
  <si>
    <t>i. Initial CVAT net single premium:</t>
  </si>
  <si>
    <t>7 pay prem</t>
  </si>
  <si>
    <t>CVAT NSP</t>
  </si>
  <si>
    <t>discount factors</t>
  </si>
  <si>
    <t>inforce</t>
  </si>
  <si>
    <t>a7</t>
  </si>
  <si>
    <t>we need to calculate an annuity factor for 7 years and divide the CVAT NSP by iy</t>
  </si>
  <si>
    <t>min DB</t>
  </si>
  <si>
    <t>ratio of db to still meet cvat</t>
  </si>
  <si>
    <t>NSP is 362.58 at 1000 death benefit. To meet CVAT the minimum DB would leave it at the cash value of 250</t>
  </si>
  <si>
    <t>ii</t>
  </si>
  <si>
    <t>init CVAT NSP</t>
  </si>
  <si>
    <t>CVAT at end of year 7 discounted back</t>
  </si>
  <si>
    <t>PV of first 7 years benefits</t>
  </si>
  <si>
    <t>end of year 7</t>
  </si>
  <si>
    <t>Death benefits</t>
  </si>
  <si>
    <t>Deaths</t>
  </si>
  <si>
    <t>mortality rate</t>
  </si>
  <si>
    <t xml:space="preserve">Year </t>
  </si>
  <si>
    <t>CVAT NSP at issue will be the NSP at year 7 discounted for mortality and interest plus the value of benefits discounted at 5% during the first 7 years</t>
  </si>
  <si>
    <t>i)</t>
  </si>
  <si>
    <t xml:space="preserve">iii. (1 point) Initial 7-pay annual premium </t>
  </si>
  <si>
    <t xml:space="preserve">ii. (1 point) Initial minimum death benefit under CVAT </t>
  </si>
  <si>
    <t>i. (1 point) Initial CVAT net single premium</t>
  </si>
  <si>
    <t>(b) (3 points) Calculate the following values at issue:</t>
  </si>
  <si>
    <t>x+6</t>
  </si>
  <si>
    <t>x+5</t>
  </si>
  <si>
    <t>x+4</t>
  </si>
  <si>
    <t>x+3</t>
  </si>
  <si>
    <t>x+2</t>
  </si>
  <si>
    <t>x+1</t>
  </si>
  <si>
    <t>x</t>
  </si>
  <si>
    <t>Mortality Rate</t>
  </si>
  <si>
    <t>Age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</si>
  <si>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The net single premium for the policy 7 years after issue is 500 when calculated using the assumptions applicable to the CVAT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</si>
  <si>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 xml:space="preserve">The policy qualifies as life insurance under section 7702 using the Cash Value Accumulation Test (CVAT) 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</si>
  <si>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The guaranteed nonforfeiture interest rate is 5%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</si>
  <si>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The cash value at the time of issue is 250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</si>
  <si>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The death benefit is 1,000 and level in all years</t>
    </r>
  </si>
  <si>
    <t>You are given the following information about a single-premium permanent life insurance policy:</t>
  </si>
  <si>
    <t>Question 3 (b)</t>
  </si>
  <si>
    <t xml:space="preserve"> Gain From Operations</t>
  </si>
  <si>
    <t xml:space="preserve"> Total Expenses</t>
  </si>
  <si>
    <t xml:space="preserve">    Premium Tax     </t>
  </si>
  <si>
    <t xml:space="preserve">    Maintenance    </t>
  </si>
  <si>
    <t xml:space="preserve">    Acquisition     </t>
  </si>
  <si>
    <t xml:space="preserve">    Commissions     </t>
  </si>
  <si>
    <t xml:space="preserve"> Expenses:   </t>
  </si>
  <si>
    <t xml:space="preserve"> Total Benefits</t>
  </si>
  <si>
    <t xml:space="preserve"> Mod-co Adjustment    </t>
  </si>
  <si>
    <t xml:space="preserve">    Net     </t>
  </si>
  <si>
    <t xml:space="preserve">    Ceded    </t>
  </si>
  <si>
    <t xml:space="preserve">    Gross     </t>
  </si>
  <si>
    <t xml:space="preserve"> Reserve Increase:   </t>
  </si>
  <si>
    <t xml:space="preserve">    Surrenders    </t>
  </si>
  <si>
    <t xml:space="preserve"> Total Liabilities and Capital</t>
  </si>
  <si>
    <t xml:space="preserve">    Claims    </t>
  </si>
  <si>
    <t xml:space="preserve"> Benefits:   </t>
  </si>
  <si>
    <t xml:space="preserve"> Total Capital</t>
  </si>
  <si>
    <t xml:space="preserve"> Surplus     </t>
  </si>
  <si>
    <t>Total Revenue</t>
  </si>
  <si>
    <t>Mod-co Adjustment</t>
  </si>
  <si>
    <t xml:space="preserve"> Total Liabilities</t>
  </si>
  <si>
    <t>Reinsurance Allowance</t>
  </si>
  <si>
    <t>   Total</t>
  </si>
  <si>
    <t xml:space="preserve">    Ceded     </t>
  </si>
  <si>
    <t>   Reserves</t>
  </si>
  <si>
    <t xml:space="preserve">    Gross    </t>
  </si>
  <si>
    <t>   Surplus</t>
  </si>
  <si>
    <t xml:space="preserve">   Policy Reserves:   </t>
  </si>
  <si>
    <t xml:space="preserve">  Investment Income:</t>
  </si>
  <si>
    <t xml:space="preserve"> Liabilities and Capital   </t>
  </si>
  <si>
    <t>   Net</t>
  </si>
  <si>
    <t>Amount Reins Yr 2</t>
  </si>
  <si>
    <t>   Ceded</t>
  </si>
  <si>
    <t>Total Assets</t>
  </si>
  <si>
    <t>   Gross</t>
  </si>
  <si>
    <t>NAR 2 per thousand</t>
  </si>
  <si>
    <t>   Invested Assets</t>
  </si>
  <si>
    <t xml:space="preserve">  Premiums:</t>
  </si>
  <si>
    <t>NAR 2</t>
  </si>
  <si>
    <t>Assets:</t>
  </si>
  <si>
    <t>Revenue:</t>
  </si>
  <si>
    <t>RSV 2</t>
  </si>
  <si>
    <t>CBA Re</t>
  </si>
  <si>
    <t>BLR Life</t>
  </si>
  <si>
    <t>Face</t>
  </si>
  <si>
    <t>Year 2</t>
  </si>
  <si>
    <t>YRT</t>
  </si>
  <si>
    <t>Balance Sheet</t>
  </si>
  <si>
    <t>Gain From Operations</t>
  </si>
  <si>
    <t>Maintenance Expenses</t>
  </si>
  <si>
    <t>Issue Expenses</t>
  </si>
  <si>
    <t>Investment Return</t>
  </si>
  <si>
    <t>Initial Surplus</t>
  </si>
  <si>
    <t>XZY Re</t>
  </si>
  <si>
    <t>Maintenance Expenses (per policy annually)</t>
  </si>
  <si>
    <t>Underwriting and Issue Expenses (per policy)</t>
  </si>
  <si>
    <t>ABC Life</t>
  </si>
  <si>
    <t xml:space="preserve">              Year 2</t>
  </si>
  <si>
    <t xml:space="preserve">              Year 1</t>
  </si>
  <si>
    <t>Coinsurance expense allowance</t>
  </si>
  <si>
    <t>Coinsurance Percentage</t>
  </si>
  <si>
    <t>Annual Cession Fee</t>
  </si>
  <si>
    <t>YRT Mean Reserves per 1000</t>
  </si>
  <si>
    <t>YRT Premium per 1000</t>
  </si>
  <si>
    <t>YRT Retention Limit</t>
  </si>
  <si>
    <t>Proposed Reinsurance Transaction Assumptions</t>
  </si>
  <si>
    <t xml:space="preserve">            Year 2:</t>
  </si>
  <si>
    <t xml:space="preserve">            Year 1:</t>
  </si>
  <si>
    <t>Commissions</t>
  </si>
  <si>
    <t>Mean Reserves per 1000</t>
  </si>
  <si>
    <t>Annual Policy Fee</t>
  </si>
  <si>
    <t>Year 1</t>
  </si>
  <si>
    <t>Premium Rate per 1000</t>
  </si>
  <si>
    <t>Face Amount</t>
  </si>
  <si>
    <t>Policy Assumptions</t>
  </si>
  <si>
    <t>Coinsurance</t>
  </si>
  <si>
    <t>Responses for part (b) and (c) are to be provided in the Word document.</t>
  </si>
  <si>
    <t>Survival Rate</t>
  </si>
  <si>
    <t>Fees*Survival Rate</t>
  </si>
  <si>
    <t>Fees</t>
  </si>
  <si>
    <t>Maint. Exp</t>
  </si>
  <si>
    <t>Acq. Exp</t>
  </si>
  <si>
    <t>GMAB Payout</t>
  </si>
  <si>
    <t>GMAB</t>
  </si>
  <si>
    <t>Fund Value (EOY)</t>
  </si>
  <si>
    <t xml:space="preserve">Time </t>
  </si>
  <si>
    <t>=PV(Fees Collected - Expenses - GMAB Payoff)</t>
  </si>
  <si>
    <t>PV expected Profit</t>
  </si>
  <si>
    <t>(a) 	(3 points)  Calculate the present value of the expected profit to the insurer at time 0. Show all work.</t>
  </si>
  <si>
    <t>•	All fees and expenses occur at the beginning of the year</t>
  </si>
  <si>
    <t>Annual Risk-Free Rate</t>
  </si>
  <si>
    <t>Implied Market Volatility of Fund</t>
  </si>
  <si>
    <t>Annual Fund Return</t>
  </si>
  <si>
    <t>Annual Decrement Rate (at end of year)</t>
  </si>
  <si>
    <t>Annual Maintenance Expense</t>
  </si>
  <si>
    <t>Acquisition Expense (% of initial premium)</t>
  </si>
  <si>
    <t>GMAB Accumulation Rate</t>
  </si>
  <si>
    <t>GMAB Term (years)</t>
  </si>
  <si>
    <t>Rider Fee (% of fund value)</t>
  </si>
  <si>
    <t>M&amp;E Fee (% of fund value)</t>
  </si>
  <si>
    <t xml:space="preserve">Initial Premium </t>
  </si>
  <si>
    <t>You are given the following:</t>
  </si>
  <si>
    <t xml:space="preserve">Your company sells a variable single premium deferred annuity (SPDA) with a guaranteed minimum accumulation benefit (GMAB). The GMAB guarantees the single premium accumulated at the GMAB accumulation rate. </t>
  </si>
  <si>
    <t>Question 6 (a)</t>
  </si>
  <si>
    <t>Responses for part (c) are to be provided in the Word document.</t>
  </si>
  <si>
    <t>After-tax stockholder earnings for years 1 through 6:</t>
  </si>
  <si>
    <t>AfterTaxStockEarn(t) = PreTaxStockEarn(t) – Tax(t) – TaxInvIncRC(t) – DefTaxProv(t).</t>
  </si>
  <si>
    <t>After-Tax stockholder earnings</t>
  </si>
  <si>
    <t>PreTaxStockEarn(t) = ProdCashFlow(t) – BenResIncr(t) – DACAmort(t) + InvIncome(t) + InvIncRC(t)</t>
  </si>
  <si>
    <t>Pre-Tax stockholder earnings</t>
  </si>
  <si>
    <t>DACAmort(t) = DAC(t-1) – DAC(t)</t>
  </si>
  <si>
    <t>DAC amortization</t>
  </si>
  <si>
    <t>BenResIncr(t) = BenRes(t) – BenRes(t-1)</t>
  </si>
  <si>
    <t>Increase in benefit reserve</t>
  </si>
  <si>
    <t>ProdCashFlow(t) = Prem(t) – Ben(t) – Exp(t)</t>
  </si>
  <si>
    <t>Product cash flow</t>
  </si>
  <si>
    <r>
      <t xml:space="preserve">(a) </t>
    </r>
    <r>
      <rPr>
        <i/>
        <sz val="12"/>
        <color theme="1"/>
        <rFont val="Times New Roman"/>
        <family val="1"/>
      </rPr>
      <t>(3 points)</t>
    </r>
    <r>
      <rPr>
        <sz val="12"/>
        <color theme="1"/>
        <rFont val="Times New Roman"/>
        <family val="1"/>
      </rPr>
      <t xml:space="preserve"> Calculate after-tax stockholder earnings for years 1 through 6.</t>
    </r>
  </si>
  <si>
    <t>Deferred Acquisition Costs (DAC)</t>
  </si>
  <si>
    <t>Required Capital</t>
  </si>
  <si>
    <t>Benefit Reserves</t>
  </si>
  <si>
    <t>Solvency Reserves</t>
  </si>
  <si>
    <t xml:space="preserve">Policy Year t </t>
  </si>
  <si>
    <t>Reserves &amp; Balances at EOY ( (in $m):</t>
  </si>
  <si>
    <t>Tax on Inv Income from Required Capital</t>
  </si>
  <si>
    <t>Tax on Pre Tax Solvency Earnings</t>
  </si>
  <si>
    <t>Deferred Tax Provision</t>
  </si>
  <si>
    <t xml:space="preserve">Investment Income on Required Capital </t>
  </si>
  <si>
    <t>Investment Income on Solvency Reserves</t>
  </si>
  <si>
    <t>Expenses</t>
  </si>
  <si>
    <t>Benefits</t>
  </si>
  <si>
    <t>Premiums</t>
  </si>
  <si>
    <t xml:space="preserve">Year t </t>
  </si>
  <si>
    <t>Cash Flows (in $m):</t>
  </si>
  <si>
    <t xml:space="preserve">You are given the following financial information on QWG Life: </t>
  </si>
  <si>
    <t>Question 7 (a)</t>
  </si>
  <si>
    <t>Return on equity for years 1 through 6:</t>
  </si>
  <si>
    <t>AfterTaxStockEarn(t) / EquityBase(t)</t>
  </si>
  <si>
    <t>na</t>
  </si>
  <si>
    <t>ROE</t>
  </si>
  <si>
    <t>StockEquity(t-1)</t>
  </si>
  <si>
    <t>Equity base</t>
  </si>
  <si>
    <t>Alternatively</t>
  </si>
  <si>
    <t>From part a</t>
  </si>
  <si>
    <t>1/2 × (StockEquity(t-1) + StockEquity(t))</t>
  </si>
  <si>
    <t>StockEquity(t) = StockAssets(t) – StockLiabilities(t)</t>
  </si>
  <si>
    <t>Stockholder Equity</t>
  </si>
  <si>
    <t>StockLiabilities(t) = BenRes(t) + DefTaxLiab(t)</t>
  </si>
  <si>
    <t>Stockholder Liabilities</t>
  </si>
  <si>
    <t>DefTaxLiab(t) = DefTaxLiab(t-1) + DefTaxProv(t)</t>
  </si>
  <si>
    <t>Deferred Tax Liability</t>
  </si>
  <si>
    <t>StockAssets(t) = SolvRes(t) + ReqCap(t) + DAC(t)</t>
  </si>
  <si>
    <t>Stockholder Assets</t>
  </si>
  <si>
    <r>
      <t>(b)</t>
    </r>
    <r>
      <rPr>
        <i/>
        <sz val="12"/>
        <color theme="1"/>
        <rFont val="Times New Roman"/>
        <family val="1"/>
      </rPr>
      <t xml:space="preserve"> (3 points) </t>
    </r>
    <r>
      <rPr>
        <sz val="12"/>
        <color theme="1"/>
        <rFont val="Times New Roman"/>
        <family val="1"/>
      </rPr>
      <t xml:space="preserve">Calculate return on equity for years 1 through 6, where equity is defined as the average of stockholder equity at the beginning and end of the year. </t>
    </r>
  </si>
  <si>
    <t>Question 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</si>
</sst>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3" formatCode="_(* #,##0.00_);_(* \(#,##0.00\);_(* &quot;-&quot;??_);_(@_)"/>
    <numFmt numFmtId="164" formatCode="_ * #,##0.00_)\ _$_ ;_ * \(#,##0.00\)\ _$_ ;_ * &quot;-&quot;??_)\ _$_ ;_ @_ "/>
    <numFmt numFmtId="165" formatCode="0.000000"/>
    <numFmt numFmtId="166" formatCode="0.0000000000"/>
    <numFmt numFmtId="167" formatCode="0.0000"/>
    <numFmt numFmtId="168" formatCode="0.000000%"/>
    <numFmt numFmtId="169" formatCode="_ * #,##0.00_)\ _$_ ;_ * \(#,##0.00\)\ _$_ ;_ * &quot;-&quot;??????_)\ _$_ ;_ @_ "/>
    <numFmt numFmtId="170" formatCode="_(* #,##0_);_(* \(#,##0\);_(* &quot;-&quot;??_);_(@_)"/>
    <numFmt numFmtId="171" formatCode="&quot;$&quot;#,##0;[Red]\-&quot;$&quot;#,##0"/>
    <numFmt numFmtId="172" formatCode="0.0%"/>
    <numFmt numFmtId="173" formatCode="#,##0.0"/>
    <numFmt numFmtId="174" formatCode="_(* #,##0.0000_);_(* \(#,##0.0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sz val="12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i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1">
    <xf numFmtId="0" fontId="0" fillId="0" borderId="0"/>
    <xf numFmtId="0" fontId="1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0" xfId="0" applyFont="1"/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" fontId="2" fillId="2" borderId="2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right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0" fillId="0" borderId="0" xfId="0" applyFont="1"/>
    <xf numFmtId="0" fontId="11" fillId="0" borderId="0" xfId="0" applyFont="1"/>
    <xf numFmtId="0" fontId="2" fillId="2" borderId="0" xfId="0" applyFont="1" applyFill="1"/>
    <xf numFmtId="0" fontId="6" fillId="3" borderId="0" xfId="0" applyFont="1" applyFill="1"/>
    <xf numFmtId="43" fontId="6" fillId="0" borderId="0" xfId="9" applyFont="1"/>
    <xf numFmtId="164" fontId="6" fillId="0" borderId="0" xfId="0" applyNumberFormat="1" applyFont="1"/>
    <xf numFmtId="0" fontId="12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/>
    <xf numFmtId="0" fontId="12" fillId="0" borderId="5" xfId="0" applyFont="1" applyBorder="1"/>
    <xf numFmtId="0" fontId="12" fillId="0" borderId="7" xfId="0" applyFont="1" applyBorder="1"/>
    <xf numFmtId="9" fontId="6" fillId="0" borderId="1" xfId="10" applyFont="1" applyBorder="1"/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0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43" fontId="6" fillId="0" borderId="0" xfId="9" applyFont="1" applyAlignment="1">
      <alignment horizontal="right"/>
    </xf>
    <xf numFmtId="166" fontId="6" fillId="0" borderId="0" xfId="0" applyNumberFormat="1" applyFont="1" applyAlignment="1">
      <alignment horizontal="right"/>
    </xf>
    <xf numFmtId="10" fontId="6" fillId="0" borderId="5" xfId="0" applyNumberFormat="1" applyFont="1" applyBorder="1" applyAlignment="1">
      <alignment horizontal="right"/>
    </xf>
    <xf numFmtId="166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43" fontId="6" fillId="0" borderId="5" xfId="9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9" fontId="6" fillId="0" borderId="0" xfId="0" applyNumberFormat="1" applyFont="1"/>
    <xf numFmtId="164" fontId="6" fillId="0" borderId="1" xfId="0" applyNumberFormat="1" applyFont="1" applyBorder="1"/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43" fontId="6" fillId="0" borderId="0" xfId="0" applyNumberFormat="1" applyFont="1"/>
    <xf numFmtId="168" fontId="6" fillId="0" borderId="0" xfId="10" applyNumberFormat="1" applyFont="1"/>
    <xf numFmtId="169" fontId="6" fillId="0" borderId="0" xfId="0" applyNumberFormat="1" applyFont="1"/>
    <xf numFmtId="43" fontId="6" fillId="0" borderId="5" xfId="0" applyNumberFormat="1" applyFont="1" applyBorder="1"/>
    <xf numFmtId="168" fontId="6" fillId="0" borderId="5" xfId="10" applyNumberFormat="1" applyFont="1" applyBorder="1"/>
    <xf numFmtId="169" fontId="6" fillId="0" borderId="5" xfId="0" applyNumberFormat="1" applyFont="1" applyBorder="1"/>
    <xf numFmtId="169" fontId="6" fillId="0" borderId="1" xfId="0" applyNumberFormat="1" applyFont="1" applyBorder="1"/>
    <xf numFmtId="0" fontId="6" fillId="0" borderId="0" xfId="0" quotePrefix="1" applyFont="1"/>
    <xf numFmtId="8" fontId="6" fillId="0" borderId="1" xfId="0" applyNumberFormat="1" applyFont="1" applyBorder="1"/>
    <xf numFmtId="8" fontId="6" fillId="0" borderId="0" xfId="0" applyNumberFormat="1" applyFont="1"/>
    <xf numFmtId="0" fontId="6" fillId="0" borderId="9" xfId="0" applyFont="1" applyBorder="1"/>
    <xf numFmtId="0" fontId="10" fillId="0" borderId="9" xfId="0" applyFont="1" applyBorder="1"/>
    <xf numFmtId="0" fontId="3" fillId="2" borderId="0" xfId="0" applyFont="1" applyFill="1"/>
    <xf numFmtId="3" fontId="3" fillId="2" borderId="0" xfId="1" applyNumberFormat="1" applyFont="1" applyFill="1"/>
    <xf numFmtId="0" fontId="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0" fillId="4" borderId="0" xfId="0" applyFill="1"/>
    <xf numFmtId="170" fontId="0" fillId="4" borderId="10" xfId="9" applyNumberFormat="1" applyFont="1" applyFill="1" applyBorder="1"/>
    <xf numFmtId="170" fontId="0" fillId="4" borderId="11" xfId="9" applyNumberFormat="1" applyFont="1" applyFill="1" applyBorder="1" applyAlignment="1">
      <alignment horizontal="right"/>
    </xf>
    <xf numFmtId="0" fontId="13" fillId="4" borderId="12" xfId="0" applyFont="1" applyFill="1" applyBorder="1" applyAlignment="1">
      <alignment horizontal="right"/>
    </xf>
    <xf numFmtId="170" fontId="0" fillId="4" borderId="13" xfId="9" applyNumberFormat="1" applyFont="1" applyFill="1" applyBorder="1"/>
    <xf numFmtId="170" fontId="0" fillId="4" borderId="0" xfId="9" applyNumberFormat="1" applyFont="1" applyFill="1" applyAlignment="1">
      <alignment horizontal="right"/>
    </xf>
    <xf numFmtId="0" fontId="0" fillId="4" borderId="14" xfId="0" applyFill="1" applyBorder="1"/>
    <xf numFmtId="0" fontId="13" fillId="4" borderId="14" xfId="0" applyFont="1" applyFill="1" applyBorder="1" applyAlignment="1">
      <alignment horizontal="right"/>
    </xf>
    <xf numFmtId="0" fontId="13" fillId="4" borderId="14" xfId="0" applyFont="1" applyFill="1" applyBorder="1"/>
    <xf numFmtId="170" fontId="0" fillId="4" borderId="11" xfId="9" applyNumberFormat="1" applyFont="1" applyFill="1" applyBorder="1"/>
    <xf numFmtId="170" fontId="0" fillId="4" borderId="0" xfId="9" applyNumberFormat="1" applyFont="1" applyFill="1"/>
    <xf numFmtId="170" fontId="0" fillId="4" borderId="0" xfId="9" applyNumberFormat="1" applyFont="1" applyFill="1" applyAlignment="1">
      <alignment horizontal="center"/>
    </xf>
    <xf numFmtId="0" fontId="13" fillId="4" borderId="14" xfId="0" applyFont="1" applyFill="1" applyBorder="1" applyAlignment="1">
      <alignment horizontal="right" vertical="center" wrapText="1"/>
    </xf>
    <xf numFmtId="0" fontId="0" fillId="4" borderId="14" xfId="0" applyFill="1" applyBorder="1" applyAlignment="1">
      <alignment vertical="center" wrapText="1"/>
    </xf>
    <xf numFmtId="170" fontId="0" fillId="0" borderId="0" xfId="9" applyNumberFormat="1" applyFont="1"/>
    <xf numFmtId="170" fontId="13" fillId="4" borderId="13" xfId="9" applyNumberFormat="1" applyFont="1" applyFill="1" applyBorder="1" applyAlignment="1">
      <alignment vertical="center" wrapText="1"/>
    </xf>
    <xf numFmtId="170" fontId="13" fillId="4" borderId="0" xfId="9" applyNumberFormat="1" applyFont="1" applyFill="1" applyAlignment="1">
      <alignment vertical="center" wrapText="1"/>
    </xf>
    <xf numFmtId="170" fontId="0" fillId="4" borderId="13" xfId="9" applyNumberFormat="1" applyFont="1" applyFill="1" applyBorder="1" applyAlignment="1">
      <alignment vertical="center" wrapText="1"/>
    </xf>
    <xf numFmtId="170" fontId="0" fillId="4" borderId="0" xfId="9" applyNumberFormat="1" applyFont="1" applyFill="1" applyAlignment="1">
      <alignment vertical="center" wrapText="1"/>
    </xf>
    <xf numFmtId="171" fontId="0" fillId="4" borderId="13" xfId="0" applyNumberFormat="1" applyFill="1" applyBorder="1" applyAlignment="1">
      <alignment horizontal="center"/>
    </xf>
    <xf numFmtId="0" fontId="0" fillId="4" borderId="13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13" xfId="0" applyFill="1" applyBorder="1"/>
    <xf numFmtId="0" fontId="0" fillId="4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 wrapText="1"/>
    </xf>
    <xf numFmtId="0" fontId="13" fillId="4" borderId="17" xfId="0" applyFont="1" applyFill="1" applyBorder="1" applyAlignment="1">
      <alignment horizontal="center" wrapText="1"/>
    </xf>
    <xf numFmtId="0" fontId="13" fillId="4" borderId="18" xfId="0" applyFont="1" applyFill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9" fontId="3" fillId="0" borderId="20" xfId="10" applyFont="1" applyBorder="1" applyAlignment="1">
      <alignment vertical="center" wrapText="1"/>
    </xf>
    <xf numFmtId="170" fontId="3" fillId="0" borderId="20" xfId="9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9" fontId="3" fillId="0" borderId="20" xfId="0" applyNumberFormat="1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172" fontId="3" fillId="0" borderId="20" xfId="10" applyNumberFormat="1" applyFont="1" applyBorder="1" applyAlignment="1">
      <alignment vertical="center" wrapText="1"/>
    </xf>
    <xf numFmtId="43" fontId="0" fillId="4" borderId="0" xfId="9" applyFont="1" applyFill="1" applyAlignment="1">
      <alignment horizontal="right"/>
    </xf>
    <xf numFmtId="3" fontId="3" fillId="0" borderId="20" xfId="0" applyNumberFormat="1" applyFont="1" applyBorder="1" applyAlignment="1">
      <alignment vertical="center" wrapText="1"/>
    </xf>
    <xf numFmtId="173" fontId="3" fillId="0" borderId="20" xfId="0" applyNumberFormat="1" applyFont="1" applyBorder="1" applyAlignment="1">
      <alignment vertical="center" wrapText="1"/>
    </xf>
    <xf numFmtId="171" fontId="0" fillId="0" borderId="0" xfId="0" applyNumberFormat="1"/>
    <xf numFmtId="8" fontId="0" fillId="0" borderId="0" xfId="0" applyNumberFormat="1"/>
    <xf numFmtId="170" fontId="0" fillId="0" borderId="13" xfId="9" applyNumberFormat="1" applyFont="1" applyBorder="1"/>
    <xf numFmtId="170" fontId="0" fillId="0" borderId="0" xfId="9" applyNumberFormat="1" applyFont="1" applyAlignment="1">
      <alignment horizontal="center"/>
    </xf>
    <xf numFmtId="0" fontId="13" fillId="0" borderId="14" xfId="0" applyFont="1" applyBorder="1"/>
    <xf numFmtId="0" fontId="0" fillId="0" borderId="14" xfId="0" applyBorder="1"/>
    <xf numFmtId="0" fontId="13" fillId="0" borderId="14" xfId="0" applyFont="1" applyBorder="1" applyAlignment="1">
      <alignment horizontal="right" vertical="center" wrapText="1"/>
    </xf>
    <xf numFmtId="0" fontId="0" fillId="0" borderId="14" xfId="0" applyBorder="1" applyAlignment="1">
      <alignment vertical="center" wrapText="1"/>
    </xf>
    <xf numFmtId="171" fontId="0" fillId="0" borderId="13" xfId="0" applyNumberFormat="1" applyBorder="1" applyAlignment="1">
      <alignment horizontal="center"/>
    </xf>
    <xf numFmtId="0" fontId="0" fillId="0" borderId="13" xfId="0" applyBorder="1"/>
    <xf numFmtId="0" fontId="0" fillId="0" borderId="15" xfId="0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43" fontId="3" fillId="0" borderId="0" xfId="9" applyFont="1"/>
    <xf numFmtId="174" fontId="3" fillId="0" borderId="0" xfId="9" applyNumberFormat="1" applyFont="1"/>
    <xf numFmtId="2" fontId="3" fillId="0" borderId="0" xfId="0" applyNumberFormat="1" applyFont="1"/>
    <xf numFmtId="9" fontId="3" fillId="0" borderId="0" xfId="0" applyNumberFormat="1" applyFont="1"/>
    <xf numFmtId="43" fontId="3" fillId="5" borderId="0" xfId="0" applyNumberFormat="1" applyFont="1" applyFill="1"/>
    <xf numFmtId="0" fontId="3" fillId="0" borderId="0" xfId="0" quotePrefix="1" applyFont="1"/>
    <xf numFmtId="0" fontId="3" fillId="4" borderId="0" xfId="0" applyFont="1" applyFill="1"/>
    <xf numFmtId="0" fontId="3" fillId="6" borderId="0" xfId="0" applyFont="1" applyFill="1"/>
    <xf numFmtId="9" fontId="3" fillId="6" borderId="25" xfId="0" applyNumberFormat="1" applyFont="1" applyFill="1" applyBorder="1" applyAlignment="1">
      <alignment vertical="center" wrapText="1"/>
    </xf>
    <xf numFmtId="0" fontId="3" fillId="6" borderId="26" xfId="0" applyFont="1" applyFill="1" applyBorder="1" applyAlignment="1">
      <alignment vertical="center" wrapText="1"/>
    </xf>
    <xf numFmtId="0" fontId="3" fillId="6" borderId="25" xfId="0" applyFont="1" applyFill="1" applyBorder="1" applyAlignment="1">
      <alignment vertical="center" wrapText="1"/>
    </xf>
    <xf numFmtId="10" fontId="3" fillId="6" borderId="25" xfId="0" applyNumberFormat="1" applyFont="1" applyFill="1" applyBorder="1" applyAlignment="1">
      <alignment vertical="center" wrapText="1"/>
    </xf>
    <xf numFmtId="3" fontId="3" fillId="6" borderId="27" xfId="0" applyNumberFormat="1" applyFont="1" applyFill="1" applyBorder="1" applyAlignment="1">
      <alignment vertical="center" wrapText="1"/>
    </xf>
    <xf numFmtId="0" fontId="3" fillId="6" borderId="28" xfId="0" applyFont="1" applyFill="1" applyBorder="1" applyAlignment="1">
      <alignment vertical="center" wrapText="1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horizontal="left" wrapText="1"/>
    </xf>
    <xf numFmtId="0" fontId="6" fillId="7" borderId="0" xfId="0" applyFont="1" applyFill="1"/>
    <xf numFmtId="0" fontId="4" fillId="7" borderId="0" xfId="0" applyFont="1" applyFill="1" applyAlignment="1">
      <alignment vertical="center"/>
    </xf>
    <xf numFmtId="0" fontId="11" fillId="0" borderId="0" xfId="0" applyFont="1" applyAlignment="1">
      <alignment wrapText="1"/>
    </xf>
    <xf numFmtId="3" fontId="3" fillId="2" borderId="0" xfId="0" applyNumberFormat="1" applyFont="1" applyFill="1" applyAlignment="1">
      <alignment vertical="center" wrapText="1"/>
    </xf>
    <xf numFmtId="0" fontId="3" fillId="2" borderId="4" xfId="0" applyFont="1" applyFill="1" applyBorder="1"/>
    <xf numFmtId="0" fontId="3" fillId="2" borderId="9" xfId="0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3" fillId="2" borderId="2" xfId="0" applyFont="1" applyFill="1" applyBorder="1"/>
    <xf numFmtId="0" fontId="3" fillId="2" borderId="17" xfId="0" applyFont="1" applyFill="1" applyBorder="1"/>
    <xf numFmtId="0" fontId="3" fillId="2" borderId="22" xfId="0" applyFont="1" applyFill="1" applyBorder="1" applyAlignment="1">
      <alignment horizontal="right"/>
    </xf>
    <xf numFmtId="172" fontId="11" fillId="0" borderId="0" xfId="0" applyNumberFormat="1" applyFont="1"/>
    <xf numFmtId="172" fontId="6" fillId="0" borderId="0" xfId="0" applyNumberFormat="1" applyFont="1"/>
    <xf numFmtId="172" fontId="10" fillId="0" borderId="0" xfId="0" applyNumberFormat="1" applyFont="1"/>
  </cellXfs>
  <cellStyles count="11">
    <cellStyle name="Comma" xfId="9" builtinId="3"/>
    <cellStyle name="Comma 10 2" xfId="4" xr:uid="{00000000-0005-0000-0000-000000000000}"/>
    <cellStyle name="Comma 2" xfId="7" xr:uid="{00000000-0005-0000-0000-000001000000}"/>
    <cellStyle name="Comma 3 2" xfId="5" xr:uid="{00000000-0005-0000-0000-000002000000}"/>
    <cellStyle name="Normal" xfId="0" builtinId="0"/>
    <cellStyle name="Normal 2" xfId="6" xr:uid="{00000000-0005-0000-0000-000005000000}"/>
    <cellStyle name="Normal 2 2" xfId="3" xr:uid="{00000000-0005-0000-0000-000006000000}"/>
    <cellStyle name="Normal 7 3" xfId="1" xr:uid="{00000000-0005-0000-0000-000007000000}"/>
    <cellStyle name="Percent" xfId="10" builtinId="5"/>
    <cellStyle name="Percent 2" xfId="8" xr:uid="{00000000-0005-0000-0000-000008000000}"/>
    <cellStyle name="Percent 3 2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Personal\Profession\SOA\Exam%20Writing%20&amp;%20Grading\ILA_2024%20Fall\Suki\Calc.xlsx" TargetMode="External"/><Relationship Id="rId1" Type="http://schemas.openxmlformats.org/officeDocument/2006/relationships/externalLinkPath" Target="file:///H:\Personal\Profession\SOA\Exam%20Writing%20&amp;%20Grading\ILA_2024%20Fall\Suki\Calc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cietyofactuaries-my.sharepoint.com/personal/mdulceak_soa_org/Documents/U_Drive/Solutions/0-NEW%20FSA%20Exams/March%202026/ILA%20101/2026-ILA101-Q6a%20Model%20Solution.xlsx" TargetMode="External"/><Relationship Id="rId1" Type="http://schemas.openxmlformats.org/officeDocument/2006/relationships/externalLinkPath" Target="2026-ILA101-Q6a%20Model%20Solution.xlsx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Users/Manar/Documents/SOA/Grading/2026%20March%20ILA%20101/ILA101%20March%202026%20Candidate%20Files/AllExcelFiles.xlsx" TargetMode="External"/><Relationship Id="rId2" Type="http://schemas.openxmlformats.org/officeDocument/2006/relationships/externalLinkPath" Target="file:///C:\Users\Manar\Documents\SOA\Grading\2026%20March%20ILA%20101\ILA101%20March%202026%20Candidate%20Files\AllExcelFiles.xlsx" TargetMode="External"/><Relationship Id="rId1" Type="http://schemas.openxmlformats.org/officeDocument/2006/relationships/externalLinkPath" Target="/Users/Manar/Documents/SOA/Grading/2026%20March%20ILA%20101/ILA101%20March%202026%20Candidate%20Files/AllExcelFiles.xlsx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Users/Manar/Documents/SOA/Grading/2026%20March%20ILA%20101/ILA101%20March%202026%20Candidate%20Files/MyPapers/64654.xlsx" TargetMode="External"/><Relationship Id="rId2" Type="http://schemas.openxmlformats.org/officeDocument/2006/relationships/externalLinkPath" Target="file:///C:\Users\Manar\Documents\SOA\Grading\2026%20March%20ILA%20101\ILA101%20March%202026%20Candidate%20Files\MyPapers\64654.xlsx" TargetMode="External"/><Relationship Id="rId1" Type="http://schemas.openxmlformats.org/officeDocument/2006/relationships/externalLinkPath" Target="/Users/Manar/Documents/SOA/Grading/2026%20March%20ILA%20101/ILA101%20March%202026%20Candidate%20Files/MyPapers/6465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Users/chris/Downloads/Summary%20ILA-LPM%20Fall%202024%20Spring%202025%20Rubrics%20-%20Consolidated%20(3).xlsm" TargetMode="External"/><Relationship Id="rId2" Type="http://schemas.openxmlformats.org/officeDocument/2006/relationships/externalLinkPath" Target="file:///C:\Users\chris\Downloads\Summary%20ILA-LPM%20Fall%202024%20Spring%202025%20Rubrics%20-%20Consolidated%20(3).xlsm" TargetMode="External"/><Relationship Id="rId1" Type="http://schemas.openxmlformats.org/officeDocument/2006/relationships/externalLinkPath" Target="/Users/chris/Downloads/Summary%20ILA-LPM%20Fall%202024%20Spring%202025%20Rubrics%20-%20Consolidated%20(3)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ris\Downloads\Summary%20ILA-LPM%20Fall%202024%20Spring%202025%20Rubrics%20-%20Consolidated%20(3).xlsm" TargetMode="External"/><Relationship Id="rId1" Type="http://schemas.openxmlformats.org/officeDocument/2006/relationships/externalLinkPath" Target="file:///C:\Users\chris\Downloads\Summary%20ILA-LPM%20Fall%202024%20Spring%202025%20Rubrics%20-%20Consolidated%20(3)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eter.gosnell\Downloads\April%20Grading\Destination\67403.xlsx" TargetMode="External"/><Relationship Id="rId1" Type="http://schemas.openxmlformats.org/officeDocument/2006/relationships/externalLinkPath" Target="file:///C:\Users\peter.gosnell\Downloads\April%20Grading\Destination\6740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eter.gosnell\Downloads\April%20Grading\Destination\64178.xlsx" TargetMode="External"/><Relationship Id="rId1" Type="http://schemas.openxmlformats.org/officeDocument/2006/relationships/externalLinkPath" Target="file:///C:\Users\peter.gosnell\Downloads\April%20Grading\Destination\64178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cietyofactuaries-my.sharepoint.com/personal/mdulceak_soa_org/Documents/U_Drive/Solutions/0-NEW%20FSA%20Exams/March%202026/ILA%20101/ILA%20101%20Solutions%20March%202026%20Question%203%20Excel.xlsx" TargetMode="External"/><Relationship Id="rId1" Type="http://schemas.openxmlformats.org/officeDocument/2006/relationships/externalLinkPath" Target="ILA%20101%20Solutions%20March%202026%20Question%203%20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eter.gosnell\Downloads\April%20Grading\Destination\64654.xlsx" TargetMode="External"/><Relationship Id="rId1" Type="http://schemas.openxmlformats.org/officeDocument/2006/relationships/externalLinkPath" Target="file:///C:\Users\peter.gosnell\Downloads\April%20Grading\Destination\6465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cietyofactuaries-my.sharepoint.com/personal/mdulceak_soa_org/Documents/U_Drive/Solutions/0-NEW%20FSA%20Exams/March%202026/ILA%20101/ILA%20101%20Solutions%20March%202026%20Q5%20(b)(i)(ii).xlsx" TargetMode="External"/><Relationship Id="rId1" Type="http://schemas.openxmlformats.org/officeDocument/2006/relationships/externalLinkPath" Target="ILA%20101%20Solutions%20March%202026%20Q5%20(b)(i)(ii).xlsx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Users/Manar/Documents/SOA/Grading/2026%20March%20ILA%20101/ILA101%20March%202026%20Candidate%20Files/MyPapers/64178.xlsx" TargetMode="External"/><Relationship Id="rId2" Type="http://schemas.openxmlformats.org/officeDocument/2006/relationships/externalLinkPath" Target="file:///C:\Users\Manar\Documents\SOA\Grading\2026%20March%20ILA%20101\ILA101%20March%202026%20Candidate%20Files\MyPapers\64178.xlsx" TargetMode="External"/><Relationship Id="rId1" Type="http://schemas.openxmlformats.org/officeDocument/2006/relationships/externalLinkPath" Target="/Users/Manar/Documents/SOA/Grading/2026%20March%20ILA%20101/ILA101%20March%202026%20Candidate%20Files/MyPapers/6417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1"/>
      <sheetName val="Q2"/>
      <sheetName val="Sheet1"/>
      <sheetName val="Q2 Assumptions"/>
      <sheetName val="example"/>
    </sheetNames>
    <sheetDataSet>
      <sheetData sheetId="0"/>
      <sheetData sheetId="1"/>
      <sheetData sheetId="2"/>
      <sheetData sheetId="3">
        <row r="2">
          <cell r="B2">
            <v>500000</v>
          </cell>
          <cell r="F2">
            <v>100</v>
          </cell>
        </row>
        <row r="3">
          <cell r="B3">
            <v>10</v>
          </cell>
          <cell r="F3">
            <v>99</v>
          </cell>
          <cell r="G3">
            <v>1</v>
          </cell>
        </row>
        <row r="4">
          <cell r="B4">
            <v>25</v>
          </cell>
        </row>
        <row r="6">
          <cell r="B6">
            <v>0.8</v>
          </cell>
          <cell r="F6">
            <v>150000</v>
          </cell>
          <cell r="G6">
            <v>400000</v>
          </cell>
        </row>
        <row r="7">
          <cell r="B7">
            <v>8.56</v>
          </cell>
          <cell r="F7">
            <v>0.05</v>
          </cell>
          <cell r="G7">
            <v>0.05</v>
          </cell>
        </row>
        <row r="9">
          <cell r="B9">
            <v>0.9</v>
          </cell>
        </row>
        <row r="10">
          <cell r="B10">
            <v>0.1</v>
          </cell>
        </row>
        <row r="11">
          <cell r="B11">
            <v>0.02</v>
          </cell>
        </row>
        <row r="13">
          <cell r="B13">
            <v>500</v>
          </cell>
        </row>
        <row r="14">
          <cell r="B14">
            <v>25</v>
          </cell>
        </row>
        <row r="17">
          <cell r="B17">
            <v>400000</v>
          </cell>
        </row>
        <row r="19">
          <cell r="B19">
            <v>0.65</v>
          </cell>
        </row>
        <row r="20">
          <cell r="B20">
            <v>0.8</v>
          </cell>
        </row>
        <row r="21">
          <cell r="B21">
            <v>15</v>
          </cell>
        </row>
        <row r="23">
          <cell r="B23">
            <v>0.8</v>
          </cell>
        </row>
        <row r="24">
          <cell r="B24">
            <v>0.85</v>
          </cell>
        </row>
        <row r="26">
          <cell r="B26">
            <v>30</v>
          </cell>
        </row>
        <row r="27">
          <cell r="B27">
            <v>15</v>
          </cell>
        </row>
      </sheetData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64065_"/>
      <sheetName val="64068_"/>
      <sheetName val="64095_"/>
      <sheetName val="64103_"/>
      <sheetName val="64118_"/>
      <sheetName val="64124_"/>
      <sheetName val="64131_"/>
      <sheetName val="64147_"/>
      <sheetName val="64168_"/>
      <sheetName val="64174_"/>
      <sheetName val="64177_"/>
      <sheetName val="64178_"/>
      <sheetName val="64191_"/>
      <sheetName val="64192_"/>
      <sheetName val="64195_"/>
      <sheetName val="64199_"/>
      <sheetName val="64203_"/>
      <sheetName val="64208_"/>
      <sheetName val="64237_"/>
      <sheetName val="64253_"/>
      <sheetName val="64254_"/>
      <sheetName val="64262_"/>
      <sheetName val="64268_"/>
      <sheetName val="64271_"/>
      <sheetName val="64276_"/>
      <sheetName val="64287_"/>
      <sheetName val="64290_"/>
      <sheetName val="64296_"/>
      <sheetName val="64330_"/>
      <sheetName val="64333_"/>
      <sheetName val="64345_"/>
      <sheetName val="64361_"/>
      <sheetName val="64369_"/>
      <sheetName val="64371_"/>
      <sheetName val="64379_"/>
      <sheetName val="64380_"/>
      <sheetName val="64391_"/>
      <sheetName val="64394_"/>
      <sheetName val="64401_"/>
      <sheetName val="64410_"/>
      <sheetName val="64411_"/>
      <sheetName val="64422_"/>
      <sheetName val="64433_"/>
      <sheetName val="64453_"/>
      <sheetName val="64473_"/>
      <sheetName val="64479_"/>
      <sheetName val="64494_"/>
      <sheetName val="64503_"/>
      <sheetName val="64504_"/>
      <sheetName val="64508_"/>
      <sheetName val="64510_"/>
      <sheetName val="64519_"/>
      <sheetName val="64521_"/>
      <sheetName val="64532_"/>
      <sheetName val="64533_"/>
      <sheetName val="64541_"/>
      <sheetName val="64561_"/>
      <sheetName val="64566_"/>
      <sheetName val="64568_"/>
      <sheetName val="64574_"/>
      <sheetName val="64604_"/>
      <sheetName val="64605_"/>
      <sheetName val="64617_"/>
      <sheetName val="64627_"/>
      <sheetName val="64650_"/>
      <sheetName val="64654_"/>
      <sheetName val="64657_"/>
      <sheetName val="64658_"/>
      <sheetName val="64659_"/>
      <sheetName val="64717_"/>
      <sheetName val="64739_"/>
      <sheetName val="64751_"/>
      <sheetName val="64779_"/>
      <sheetName val="64780_"/>
      <sheetName val="64797_"/>
      <sheetName val="64804_"/>
      <sheetName val="64827_"/>
      <sheetName val="64836_"/>
      <sheetName val="64853_"/>
      <sheetName val="64857_"/>
      <sheetName val="64896_"/>
      <sheetName val="64912_"/>
      <sheetName val="64926_"/>
      <sheetName val="64929_"/>
      <sheetName val="64933_"/>
      <sheetName val="64993_"/>
      <sheetName val="65012_"/>
      <sheetName val="65042_"/>
      <sheetName val="65043_"/>
      <sheetName val="65062_"/>
      <sheetName val="65076_"/>
      <sheetName val="65083_"/>
      <sheetName val="65086_"/>
      <sheetName val="65088_"/>
      <sheetName val="65099_"/>
      <sheetName val="65107_"/>
      <sheetName val="65116_"/>
      <sheetName val="65130_"/>
      <sheetName val="65189_"/>
      <sheetName val="65196_"/>
      <sheetName val="65209_"/>
      <sheetName val="65225_"/>
      <sheetName val="65277_"/>
      <sheetName val="65339_"/>
      <sheetName val="65373_"/>
      <sheetName val="65386_"/>
      <sheetName val="65388_"/>
      <sheetName val="65399_"/>
      <sheetName val="65401_"/>
      <sheetName val="65418_"/>
      <sheetName val="65449_"/>
      <sheetName val="65451_"/>
      <sheetName val="65480_"/>
      <sheetName val="65506_"/>
      <sheetName val="65556_"/>
      <sheetName val="65564_"/>
      <sheetName val="65567_"/>
      <sheetName val="65587_"/>
      <sheetName val="65639_"/>
      <sheetName val="65662_"/>
      <sheetName val="65670_"/>
      <sheetName val="65678_"/>
      <sheetName val="65686_"/>
      <sheetName val="65705_"/>
      <sheetName val="65706_"/>
      <sheetName val="65724_"/>
      <sheetName val="65736_"/>
      <sheetName val="65745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8">
          <cell r="B8">
            <v>1.4999999999999999E-2</v>
          </cell>
        </row>
        <row r="9">
          <cell r="B9">
            <v>0.01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Question 1 (a)"/>
      <sheetName val="Question 1 (b)"/>
      <sheetName val="Question 1 (c)"/>
      <sheetName val="Question 3 (b)"/>
      <sheetName val="Question 5 Information"/>
      <sheetName val="Question 5 (b)(i)"/>
      <sheetName val="Question 5 (b)(ii)"/>
      <sheetName val="Question 6 (a)"/>
      <sheetName val="Question 7 (a)"/>
      <sheetName val="Question 7 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0">
          <cell r="B30">
            <v>0.04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Exec Instructions"/>
      <sheetName val="Summary"/>
      <sheetName val="Coverage"/>
      <sheetName val="LOutcome Checklist"/>
      <sheetName val="Fall 2024 &gt;&gt;&gt;"/>
      <sheetName val="AT-1-2024"/>
      <sheetName val="DK-1-2024"/>
      <sheetName val="BL-1-2024"/>
      <sheetName val="DM-1-2024"/>
      <sheetName val="WL-1-2024"/>
      <sheetName val="WL-1-2024 c.i"/>
      <sheetName val="WL-1-2024 c.ii"/>
      <sheetName val="WL-1-2024 d"/>
      <sheetName val="EP-1-2024"/>
      <sheetName val="EP-1-2024 Calc"/>
      <sheetName val="KG-2-2024"/>
      <sheetName val="Spring 2025 &gt;&gt;&gt;"/>
      <sheetName val="TBC-2-2024"/>
      <sheetName val="DF-1-2024"/>
      <sheetName val="DF-1-2024 Calculations"/>
      <sheetName val="SX-1-2024"/>
      <sheetName val="MD-1-2024"/>
      <sheetName val="DM-2-2024"/>
      <sheetName val="RR-1-2024"/>
      <sheetName val="KG-1-2024"/>
      <sheetName val="SX-2-2024"/>
      <sheetName val="Bank 2024 &gt;&gt;&gt;"/>
      <sheetName val="AL-1-2024"/>
      <sheetName val="AL-1-2024 Calc Part a"/>
      <sheetName val="AL-1-2024 Calc Part b"/>
      <sheetName val="AL-2-2024"/>
      <sheetName val="BP-1-2024"/>
      <sheetName val="BP-1-2024 Calc"/>
      <sheetName val="BL-2-2024"/>
      <sheetName val="WL-2-2024"/>
      <sheetName val="WL-2-2024 Assumption"/>
      <sheetName val="WL-2-2024 Calc"/>
      <sheetName val="DF-2-2024"/>
      <sheetName val="SY-1-2024"/>
      <sheetName val="SY-1-2024 Calc"/>
      <sheetName val="SY-2-2024"/>
      <sheetName val="SY-2-2024 Assumption"/>
      <sheetName val="SY-2-2024 Calc"/>
      <sheetName val="Bank &gt;&gt;&gt;"/>
      <sheetName val="AW-1-2023"/>
      <sheetName val="BL-1-2023"/>
      <sheetName val="JKW-2-2023"/>
      <sheetName val="WYW-1-2023"/>
      <sheetName val="WYW-1-2023 Calc"/>
      <sheetName val="DF-1-2022"/>
      <sheetName val="BL-2-2022"/>
      <sheetName val="Rubric Template"/>
      <sheetName val="Calcs 1"/>
      <sheetName val="Calcs 2"/>
      <sheetName val="Calcs 3"/>
      <sheetName val="syllabus list"/>
      <sheetName val="LO"/>
    </sheetNames>
    <sheetDataSet>
      <sheetData sheetId="0">
        <row r="2">
          <cell r="E2">
            <v>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9">
          <cell r="C9" t="str">
            <v>LO#1-13</v>
          </cell>
          <cell r="D9">
            <v>5.666666666666667</v>
          </cell>
          <cell r="E9" t="str">
            <v>Pension Risk Transfer in Canada and the U.S., SOA Research Institute, Simmons, 2022</v>
          </cell>
        </row>
        <row r="10">
          <cell r="C10" t="str">
            <v>LO#4-3</v>
          </cell>
          <cell r="D10">
            <v>0.66666666666666663</v>
          </cell>
          <cell r="E10" t="str">
            <v>Life, Health &amp; Annuity Reinsurance, Tiller, John E. and Tiller, Denise, 4th Edition, 2015 - Ch. 6: Assumption</v>
          </cell>
        </row>
        <row r="11">
          <cell r="C11" t="str">
            <v>LO#4-4</v>
          </cell>
          <cell r="D11">
            <v>3.6666666666666665</v>
          </cell>
          <cell r="E11" t="str">
            <v>Life, Health &amp; Annuity Reinsurance, Tiller, John E. and Tiller, Denise, 4th Edition, 2015 - Ch. 7: Reinsurance of Inforce Risks</v>
          </cell>
        </row>
        <row r="12">
          <cell r="C12" t="e">
            <v>#N/A</v>
          </cell>
          <cell r="D12">
            <v>0</v>
          </cell>
        </row>
        <row r="13">
          <cell r="C13" t="e">
            <v>#N/A</v>
          </cell>
          <cell r="D13">
            <v>0</v>
          </cell>
        </row>
        <row r="14">
          <cell r="C14" t="e">
            <v>#N/A</v>
          </cell>
          <cell r="D14">
            <v>0</v>
          </cell>
        </row>
        <row r="15">
          <cell r="C15" t="e">
            <v>#N/A</v>
          </cell>
          <cell r="D15">
            <v>0</v>
          </cell>
        </row>
        <row r="16">
          <cell r="C16" t="e">
            <v>#N/A</v>
          </cell>
          <cell r="D16">
            <v>0</v>
          </cell>
        </row>
      </sheetData>
      <sheetData sheetId="32"/>
      <sheetData sheetId="33"/>
      <sheetData sheetId="34"/>
      <sheetData sheetId="35"/>
      <sheetData sheetId="36">
        <row r="6">
          <cell r="B6">
            <v>0.8</v>
          </cell>
        </row>
        <row r="22">
          <cell r="B22">
            <v>400000</v>
          </cell>
        </row>
        <row r="25">
          <cell r="B25">
            <v>0.65</v>
          </cell>
        </row>
        <row r="26">
          <cell r="B26">
            <v>3000</v>
          </cell>
        </row>
        <row r="27">
          <cell r="B27">
            <v>0.75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4">
          <cell r="B4" t="str">
            <v xml:space="preserve">LPM-107-07: Experience Assumptions for Individual Life Insurance and Annuities </v>
          </cell>
        </row>
        <row r="5">
          <cell r="B5" t="str">
            <v>LPM-121-13: Life Insurance and Annuity Non-forfeiture Practices</v>
          </cell>
        </row>
        <row r="6">
          <cell r="B6" t="str">
            <v>LPM-142-16: Malcolm Life Enhances Its Variable Annuities, 2010 </v>
          </cell>
        </row>
        <row r="7">
          <cell r="B7" t="str">
            <v>LPM-148-19: Ch. 9 of Life Insurance Products and Finance, Atkinson and Dallas</v>
          </cell>
        </row>
        <row r="8">
          <cell r="B8" t="str">
            <v>LPM-149-22: Ch. 11, pp. 499-512 of Life Insurance Products and Finance, Atkinson and Dallas</v>
          </cell>
        </row>
        <row r="9">
          <cell r="B9" t="str">
            <v>LPM-152-19: Lapse Supported Insurance Analysis</v>
          </cell>
        </row>
        <row r="10">
          <cell r="B10" t="str">
            <v>LPM-165-20: Life Products and Features</v>
          </cell>
        </row>
        <row r="11">
          <cell r="B11" t="str">
            <v>LPM-166-20: Annuity Product and Features</v>
          </cell>
        </row>
        <row r="12">
          <cell r="B12" t="str">
            <v>LPM-171-21: Excerpts from Ch. 12 and Ch. 18 Statutory Valuation of Individual Life and Annuity Contracts, Claire, Lombardi and Summers, 5th Edition (sections 12.2 &amp; 12.4 and sections 18.2, 18.3.2 &amp; 18.3.3 only)</v>
          </cell>
        </row>
        <row r="13">
          <cell r="B13" t="str">
            <v>LPM-XX-24: Market Trends and Product Designs: Considerations when Interest Rates are Rising, Sun, Moench, Strother, Lee, and Mu, 2021</v>
          </cell>
        </row>
        <row r="14">
          <cell r="B14" t="str">
            <v>LPM-XXX-23: Registered Index-Linked Annuities, SOA Research Institute, Carbo, Elliot, and McGarr, 2022</v>
          </cell>
        </row>
        <row r="15">
          <cell r="B15" t="str">
            <v>Structured Settlement Annuities, SOA Research Institute, Sklar, 2022</v>
          </cell>
        </row>
        <row r="16">
          <cell r="B16" t="str">
            <v>Pension Risk Transfer in Canada and the U.S., SOA Research Institute, Simmons, 2022</v>
          </cell>
        </row>
        <row r="17">
          <cell r="B17" t="str">
            <v xml:space="preserve">Standards of Practice, Canadian Institute of Actuaries Actuarial Standards Board, 2022, Section 1600 </v>
          </cell>
        </row>
        <row r="18">
          <cell r="B18" t="str">
            <v>ASOP 54: Pricing of Life and Annuity Products, Jun 2018</v>
          </cell>
        </row>
        <row r="19">
          <cell r="B19" t="str">
            <v xml:space="preserve">Impact of VM-20 on Life Insurance Product Development, SOA Research, Nov 2016, pp. 1-31 (excluding discussion of 20-year term) </v>
          </cell>
        </row>
        <row r="20">
          <cell r="B20" t="str">
            <v xml:space="preserve">The Use of Predictive Analytics in the Development of Experience Studies, The Actuary, Oct/Nov 2015, pp. 26-34 </v>
          </cell>
        </row>
        <row r="21">
          <cell r="B21" t="str">
            <v>Variable Annuity Guaranteed Living Benefits Utilization, SOA LIMRA Research, 2018, Executive Summary only (pp. 19-32)</v>
          </cell>
        </row>
        <row r="22">
          <cell r="B22" t="str">
            <v>Predictive Modeling for Life Insurance: Ways Life Insurers Can Participate in the Business Analytics Revolution, Product Matters, Jun 2018</v>
          </cell>
        </row>
        <row r="23">
          <cell r="B23" t="str">
            <v>Life Insurance Acceleration Riders, SOA Reinsurance News, 2013, pp. 35-38</v>
          </cell>
        </row>
        <row r="24">
          <cell r="B24" t="str">
            <v xml:space="preserve">The Response of Life Insurance Pricing to Life Settlements, Product Matters, Sep 2006  </v>
          </cell>
        </row>
        <row r="25">
          <cell r="B25" t="str">
            <v>Term Conversions: Pricing and Reserving, Product Matters, Mar 2017</v>
          </cell>
        </row>
        <row r="26">
          <cell r="B26" t="str">
            <v>Ending the Mortality Table, Living to 100 Symposium</v>
          </cell>
        </row>
        <row r="27">
          <cell r="B27" t="str">
            <v xml:space="preserve">Level Term Lapse Rates – Lessons Learned Here and in Canada, Product Matters, Oct 2011, pp. 11-14 </v>
          </cell>
        </row>
        <row r="28">
          <cell r="B28" t="str">
            <v>What if Mortality Stops Improving? Introducing a Product Idea that Shares the Risks and Benefits of Changes in Mortality Rates, Product Matters, Aug 2023</v>
          </cell>
        </row>
        <row r="29">
          <cell r="B29" t="str">
            <v xml:space="preserve">Report on Premium Persistency Assumptions Study of Flexible Premium Universal Life Products, May 2012, pp. 9-15 </v>
          </cell>
        </row>
        <row r="30">
          <cell r="B30" t="str">
            <v xml:space="preserve">Understanding the Volatility Experience and Pricing Assumptions in Long-Term Care Insurance, 2014, pp. 4-46 </v>
          </cell>
        </row>
        <row r="31">
          <cell r="B31" t="str">
            <v>Long-Term Care Insurance: The SOA Pricing Project, 2016</v>
          </cell>
        </row>
        <row r="32">
          <cell r="B32" t="str">
            <v>Table Development, Feb 2018 (excluding Appendices C, D, F, G &amp; H)</v>
          </cell>
        </row>
        <row r="33">
          <cell r="B33" t="str">
            <v>CIA Educational Note: Selective Lapsation for Renewable Term Insurance Products, Feb 2017</v>
          </cell>
        </row>
        <row r="34">
          <cell r="B34" t="str">
            <v>Overview of Non-guaranteed Elements (NGEs), SOA Research Institute, Cook, Koon, Motiwalla, and Rudolph, 2022</v>
          </cell>
        </row>
        <row r="35">
          <cell r="B35" t="str">
            <v>Predictive Models on Conversion Studies for the Level Term Premium Plans, Society of Actuaries, March 2022</v>
          </cell>
        </row>
        <row r="36">
          <cell r="B36" t="str">
            <v>LPM-113-09: Economics of Insurance: How Insurers Create Value for Shareholders, pp. 4-31</v>
          </cell>
        </row>
        <row r="37">
          <cell r="B37" t="str">
            <v>LPM-153-19: Life in-force Management: Improving Consumer Value and Long-Term Profitability</v>
          </cell>
        </row>
        <row r="38">
          <cell r="B38" t="str">
            <v>LPM-155-19: Understanding Profitability in Life Insurance</v>
          </cell>
        </row>
        <row r="39">
          <cell r="B39" t="str">
            <v>Evolving Strategies to Improve Inforce Post-Level Term Profitability, Product Matters, Feb 2015, pp. 23-29</v>
          </cell>
        </row>
        <row r="40">
          <cell r="B40" t="str">
            <v>LPM-147-17: Life Insurance: Focusing on the Consumer (excluding Appendices)</v>
          </cell>
        </row>
        <row r="41">
          <cell r="B41" t="str">
            <v>LPM-156-19: The Impact of Stochastic Volatility on Pricing, Hedging and Hedge Efficiency of Withdrawal Benefit Guarantees in Variable Annuities (Note: Candidates not responsible for mathematical derivations or detailed results, but should understand concepts and methodology)</v>
          </cell>
        </row>
        <row r="42">
          <cell r="B42" t="str">
            <v>LPM-157-19: Diversification of Longevity and Mortality Risk</v>
          </cell>
        </row>
        <row r="43">
          <cell r="B43" t="str">
            <v>LPM-168-20: LexisNexis® Risk Classifier – Stratifying Mortality Risk Using Alternative Data Sources</v>
          </cell>
        </row>
        <row r="44">
          <cell r="B44" t="str">
            <v>LPM-172-23: Canadian Life and Health Insurance Guidelines (CLHIA) - Guideline G-6 – Illustrations</v>
          </cell>
        </row>
        <row r="45">
          <cell r="B45" t="str">
            <v>LPM-171-21: Excerpts from Ch. 12 of Statutory Valuation of Individual Life and Annuity Contracts, Claire, Lombardi and Summers, 5th Edition (sections 12.3 &amp; 12.4 only)</v>
          </cell>
        </row>
        <row r="46">
          <cell r="B46" t="str">
            <v>Credibility Methods Applied to Life, Health, and Pensions, Society of Actuaries, 2019 (only pages 1-25)</v>
          </cell>
        </row>
        <row r="47">
          <cell r="B47" t="str">
            <v>The Application of Credibility Theory in the Canadian Life Insurance Industry, Society of Actuaries and Canadian Institute of Actuaries, 2019 (excluding appendices)</v>
          </cell>
        </row>
        <row r="48">
          <cell r="B48" t="str">
            <v>Mechanics of Dividends, SOA Research Institute, Dale Hagstrom, Mar 2022</v>
          </cell>
        </row>
        <row r="49">
          <cell r="B49" t="str">
            <v>Experience Study Calculations, Oct 2016, sections 2-4, 11, 12 15, 17 &amp; 18 (excluding 18.2, 18.8 &amp; 18.9)</v>
          </cell>
        </row>
        <row r="50">
          <cell r="B50" t="str">
            <v>Actuarial Guideline XLIX (AG49): Past, Present and Future, Product Matters, Jun 2023</v>
          </cell>
        </row>
        <row r="51">
          <cell r="B51" t="str">
            <v>ASOP 24: Compliance with the NAIC Life Illustrations Model Regulation , December 2016</v>
          </cell>
        </row>
        <row r="52">
          <cell r="B52" t="str">
            <v>Life Insurance for the Digital Age:  An End-to-End View , Product Matters, Nov 2017</v>
          </cell>
        </row>
        <row r="53">
          <cell r="B53" t="str">
            <v>NAIC Accelerated Underwriting In Life Insurance Educational Report (excluding appendix A), April 2022</v>
          </cell>
        </row>
        <row r="54">
          <cell r="B54" t="str">
            <v>Life, Health &amp; Annuity Reinsurance, Tiller, John E. and Tiller, Denise, 4th Edition, 2015 - Ch. 4: Basic Methods of Reinsurance</v>
          </cell>
        </row>
        <row r="55">
          <cell r="B55" t="str">
            <v>Life, Health &amp; Annuity Reinsurance, Tiller, John E. and Tiller, Denise, 4th Edition, 2015 - Ch. 5: Advanced Methods and Structures of Reinsurance</v>
          </cell>
        </row>
        <row r="56">
          <cell r="B56" t="str">
            <v>Life, Health &amp; Annuity Reinsurance, Tiller, John E. and Tiller, Denise, 4th Edition, 2015 - Ch. 6: Assumption</v>
          </cell>
        </row>
        <row r="57">
          <cell r="B57" t="str">
            <v>Life, Health &amp; Annuity Reinsurance, Tiller, John E. and Tiller, Denise, 4th Edition, 2015 - Ch. 7: Reinsurance of Inforce Risks</v>
          </cell>
        </row>
        <row r="58">
          <cell r="B58" t="str">
            <v>Life, Health &amp; Annuity Reinsurance, Tiller, John E. and Tiller, Denise, 4th Edition, 2015 - Ch. 9: Risk Transfer Considerations (pp. 269-280)</v>
          </cell>
        </row>
        <row r="59">
          <cell r="B59" t="str">
            <v>Life, Health &amp; Annuity Reinsurance, Tiller, John E. and Tiller, Denise, 4th Edition, 2015 - Ch. 17: Nonproportional Reinsurance</v>
          </cell>
        </row>
        <row r="60">
          <cell r="B60" t="str">
            <v>LPM-160-19: Strategic Reinsurance and Insurance: The Increasing Trend of Customized Solutions, pp. 1-4, 14-15 &amp; 18-31</v>
          </cell>
        </row>
        <row r="86">
          <cell r="A86" t="str">
            <v>LO#1</v>
          </cell>
          <cell r="B86" t="str">
            <v>Retrieval</v>
          </cell>
        </row>
        <row r="87">
          <cell r="A87" t="str">
            <v>LO#2</v>
          </cell>
          <cell r="B87" t="str">
            <v>Comprehension</v>
          </cell>
        </row>
        <row r="88">
          <cell r="A88" t="str">
            <v>LO#3</v>
          </cell>
          <cell r="B88" t="str">
            <v>Analysis</v>
          </cell>
        </row>
        <row r="89">
          <cell r="A89" t="str">
            <v>LO#4</v>
          </cell>
          <cell r="B89" t="str">
            <v>Knowledge Utilization</v>
          </cell>
        </row>
      </sheetData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Exec Instructions"/>
      <sheetName val="Summary"/>
      <sheetName val="Coverage"/>
      <sheetName val="LOutcome Checklist"/>
      <sheetName val="Fall 2024 &gt;&gt;&gt;"/>
      <sheetName val="AT-1-2024"/>
      <sheetName val="DK-1-2024"/>
      <sheetName val="BL-1-2024"/>
      <sheetName val="DM-1-2024"/>
      <sheetName val="WL-1-2024"/>
      <sheetName val="WL-1-2024 c.i"/>
      <sheetName val="WL-1-2024 c.ii"/>
      <sheetName val="WL-1-2024 d"/>
      <sheetName val="EP-1-2024"/>
      <sheetName val="EP-1-2024 Calc"/>
      <sheetName val="KG-2-2024"/>
      <sheetName val="Spring 2025 &gt;&gt;&gt;"/>
      <sheetName val="TBC-2-2024"/>
      <sheetName val="DF-1-2024"/>
      <sheetName val="DF-1-2024 Calculations"/>
      <sheetName val="SX-1-2024"/>
      <sheetName val="MD-1-2024"/>
      <sheetName val="DM-2-2024"/>
      <sheetName val="RR-1-2024"/>
      <sheetName val="KG-1-2024"/>
      <sheetName val="SX-2-2024"/>
      <sheetName val="Bank 2024 &gt;&gt;&gt;"/>
      <sheetName val="AL-1-2024"/>
      <sheetName val="AL-1-2024 Calc Part a"/>
      <sheetName val="AL-1-2024 Calc Part b"/>
      <sheetName val="AL-2-2024"/>
      <sheetName val="BP-1-2024"/>
      <sheetName val="BP-1-2024 Calc"/>
      <sheetName val="BL-2-2024"/>
      <sheetName val="WL-2-2024"/>
      <sheetName val="WL-2-2024 Assumption"/>
      <sheetName val="WL-2-2024 Calc"/>
      <sheetName val="DF-2-2024"/>
      <sheetName val="SY-1-2024"/>
      <sheetName val="SY-1-2024 Calc"/>
      <sheetName val="SY-2-2024"/>
      <sheetName val="SY-2-2024 Assumption"/>
      <sheetName val="SY-2-2024 Calc"/>
      <sheetName val="Bank &gt;&gt;&gt;"/>
      <sheetName val="AW-1-2023"/>
      <sheetName val="BL-1-2023"/>
      <sheetName val="JKW-2-2023"/>
      <sheetName val="WYW-1-2023"/>
      <sheetName val="WYW-1-2023 Calc"/>
      <sheetName val="DF-1-2022"/>
      <sheetName val="BL-2-2022"/>
      <sheetName val="Rubric Template"/>
      <sheetName val="Calcs 1"/>
      <sheetName val="Calcs 2"/>
      <sheetName val="Calcs 3"/>
      <sheetName val="syllabus list"/>
      <sheetName val="LO"/>
    </sheetNames>
    <sheetDataSet>
      <sheetData sheetId="0">
        <row r="2">
          <cell r="E2">
            <v>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9">
          <cell r="C9" t="str">
            <v>LO#1-13</v>
          </cell>
          <cell r="D9">
            <v>5.666666666666667</v>
          </cell>
          <cell r="E9" t="str">
            <v>Pension Risk Transfer in Canada and the U.S., SOA Research Institute, Simmons, 2022</v>
          </cell>
        </row>
        <row r="10">
          <cell r="C10" t="str">
            <v>LO#4-3</v>
          </cell>
          <cell r="D10">
            <v>0.66666666666666663</v>
          </cell>
          <cell r="E10" t="str">
            <v>Life, Health &amp; Annuity Reinsurance, Tiller, John E. and Tiller, Denise, 4th Edition, 2015 - Ch. 6: Assumption</v>
          </cell>
        </row>
        <row r="11">
          <cell r="C11" t="str">
            <v>LO#4-4</v>
          </cell>
          <cell r="D11">
            <v>3.6666666666666665</v>
          </cell>
          <cell r="E11" t="str">
            <v>Life, Health &amp; Annuity Reinsurance, Tiller, John E. and Tiller, Denise, 4th Edition, 2015 - Ch. 7: Reinsurance of Inforce Risks</v>
          </cell>
        </row>
        <row r="12">
          <cell r="C12" t="e">
            <v>#N/A</v>
          </cell>
          <cell r="D12">
            <v>0</v>
          </cell>
        </row>
        <row r="13">
          <cell r="C13" t="e">
            <v>#N/A</v>
          </cell>
          <cell r="D13">
            <v>0</v>
          </cell>
        </row>
        <row r="14">
          <cell r="C14" t="e">
            <v>#N/A</v>
          </cell>
          <cell r="D14">
            <v>0</v>
          </cell>
        </row>
        <row r="15">
          <cell r="C15" t="e">
            <v>#N/A</v>
          </cell>
          <cell r="D15">
            <v>0</v>
          </cell>
        </row>
        <row r="16">
          <cell r="C16" t="e">
            <v>#N/A</v>
          </cell>
          <cell r="D16">
            <v>0</v>
          </cell>
        </row>
      </sheetData>
      <sheetData sheetId="32"/>
      <sheetData sheetId="33"/>
      <sheetData sheetId="34"/>
      <sheetData sheetId="35"/>
      <sheetData sheetId="36">
        <row r="6">
          <cell r="B6">
            <v>0.8</v>
          </cell>
        </row>
        <row r="22">
          <cell r="B22">
            <v>400000</v>
          </cell>
        </row>
        <row r="25">
          <cell r="B25">
            <v>0.65</v>
          </cell>
        </row>
        <row r="26">
          <cell r="B26">
            <v>3000</v>
          </cell>
        </row>
        <row r="27">
          <cell r="B27">
            <v>0.75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4">
          <cell r="B4" t="str">
            <v xml:space="preserve">LPM-107-07: Experience Assumptions for Individual Life Insurance and Annuities </v>
          </cell>
        </row>
        <row r="5">
          <cell r="B5" t="str">
            <v>LPM-121-13: Life Insurance and Annuity Non-forfeiture Practices</v>
          </cell>
        </row>
        <row r="6">
          <cell r="B6" t="str">
            <v>LPM-142-16: Malcolm Life Enhances Its Variable Annuities, 2010 </v>
          </cell>
        </row>
        <row r="7">
          <cell r="B7" t="str">
            <v>LPM-148-19: Ch. 9 of Life Insurance Products and Finance, Atkinson and Dallas</v>
          </cell>
        </row>
        <row r="8">
          <cell r="B8" t="str">
            <v>LPM-149-22: Ch. 11, pp. 499-512 of Life Insurance Products and Finance, Atkinson and Dallas</v>
          </cell>
        </row>
        <row r="9">
          <cell r="B9" t="str">
            <v>LPM-152-19: Lapse Supported Insurance Analysis</v>
          </cell>
        </row>
        <row r="10">
          <cell r="B10" t="str">
            <v>LPM-165-20: Life Products and Features</v>
          </cell>
        </row>
        <row r="11">
          <cell r="B11" t="str">
            <v>LPM-166-20: Annuity Product and Features</v>
          </cell>
        </row>
        <row r="12">
          <cell r="B12" t="str">
            <v>LPM-171-21: Excerpts from Ch. 12 and Ch. 18 Statutory Valuation of Individual Life and Annuity Contracts, Claire, Lombardi and Summers, 5th Edition (sections 12.2 &amp; 12.4 and sections 18.2, 18.3.2 &amp; 18.3.3 only)</v>
          </cell>
        </row>
        <row r="13">
          <cell r="B13" t="str">
            <v>LPM-XX-24: Market Trends and Product Designs: Considerations when Interest Rates are Rising, Sun, Moench, Strother, Lee, and Mu, 2021</v>
          </cell>
        </row>
        <row r="14">
          <cell r="B14" t="str">
            <v>LPM-XXX-23: Registered Index-Linked Annuities, SOA Research Institute, Carbo, Elliot, and McGarr, 2022</v>
          </cell>
        </row>
        <row r="15">
          <cell r="B15" t="str">
            <v>Structured Settlement Annuities, SOA Research Institute, Sklar, 2022</v>
          </cell>
        </row>
        <row r="16">
          <cell r="B16" t="str">
            <v>Pension Risk Transfer in Canada and the U.S., SOA Research Institute, Simmons, 2022</v>
          </cell>
        </row>
        <row r="17">
          <cell r="B17" t="str">
            <v xml:space="preserve">Standards of Practice, Canadian Institute of Actuaries Actuarial Standards Board, 2022, Section 1600 </v>
          </cell>
        </row>
        <row r="18">
          <cell r="B18" t="str">
            <v>ASOP 54: Pricing of Life and Annuity Products, Jun 2018</v>
          </cell>
        </row>
        <row r="19">
          <cell r="B19" t="str">
            <v xml:space="preserve">Impact of VM-20 on Life Insurance Product Development, SOA Research, Nov 2016, pp. 1-31 (excluding discussion of 20-year term) </v>
          </cell>
        </row>
        <row r="20">
          <cell r="B20" t="str">
            <v xml:space="preserve">The Use of Predictive Analytics in the Development of Experience Studies, The Actuary, Oct/Nov 2015, pp. 26-34 </v>
          </cell>
        </row>
        <row r="21">
          <cell r="B21" t="str">
            <v>Variable Annuity Guaranteed Living Benefits Utilization, SOA LIMRA Research, 2018, Executive Summary only (pp. 19-32)</v>
          </cell>
        </row>
        <row r="22">
          <cell r="B22" t="str">
            <v>Predictive Modeling for Life Insurance: Ways Life Insurers Can Participate in the Business Analytics Revolution, Product Matters, Jun 2018</v>
          </cell>
        </row>
        <row r="23">
          <cell r="B23" t="str">
            <v>Life Insurance Acceleration Riders, SOA Reinsurance News, 2013, pp. 35-38</v>
          </cell>
        </row>
        <row r="24">
          <cell r="B24" t="str">
            <v xml:space="preserve">The Response of Life Insurance Pricing to Life Settlements, Product Matters, Sep 2006  </v>
          </cell>
        </row>
        <row r="25">
          <cell r="B25" t="str">
            <v>Term Conversions: Pricing and Reserving, Product Matters, Mar 2017</v>
          </cell>
        </row>
        <row r="26">
          <cell r="B26" t="str">
            <v>Ending the Mortality Table, Living to 100 Symposium</v>
          </cell>
        </row>
        <row r="27">
          <cell r="B27" t="str">
            <v xml:space="preserve">Level Term Lapse Rates – Lessons Learned Here and in Canada, Product Matters, Oct 2011, pp. 11-14 </v>
          </cell>
        </row>
        <row r="28">
          <cell r="B28" t="str">
            <v>What if Mortality Stops Improving? Introducing a Product Idea that Shares the Risks and Benefits of Changes in Mortality Rates, Product Matters, Aug 2023</v>
          </cell>
        </row>
        <row r="29">
          <cell r="B29" t="str">
            <v xml:space="preserve">Report on Premium Persistency Assumptions Study of Flexible Premium Universal Life Products, May 2012, pp. 9-15 </v>
          </cell>
        </row>
        <row r="30">
          <cell r="B30" t="str">
            <v xml:space="preserve">Understanding the Volatility Experience and Pricing Assumptions in Long-Term Care Insurance, 2014, pp. 4-46 </v>
          </cell>
        </row>
        <row r="31">
          <cell r="B31" t="str">
            <v>Long-Term Care Insurance: The SOA Pricing Project, 2016</v>
          </cell>
        </row>
        <row r="32">
          <cell r="B32" t="str">
            <v>Table Development, Feb 2018 (excluding Appendices C, D, F, G &amp; H)</v>
          </cell>
        </row>
        <row r="33">
          <cell r="B33" t="str">
            <v>CIA Educational Note: Selective Lapsation for Renewable Term Insurance Products, Feb 2017</v>
          </cell>
        </row>
        <row r="34">
          <cell r="B34" t="str">
            <v>Overview of Non-guaranteed Elements (NGEs), SOA Research Institute, Cook, Koon, Motiwalla, and Rudolph, 2022</v>
          </cell>
        </row>
        <row r="35">
          <cell r="B35" t="str">
            <v>Predictive Models on Conversion Studies for the Level Term Premium Plans, Society of Actuaries, March 2022</v>
          </cell>
        </row>
        <row r="36">
          <cell r="B36" t="str">
            <v>LPM-113-09: Economics of Insurance: How Insurers Create Value for Shareholders, pp. 4-31</v>
          </cell>
        </row>
        <row r="37">
          <cell r="B37" t="str">
            <v>LPM-153-19: Life in-force Management: Improving Consumer Value and Long-Term Profitability</v>
          </cell>
        </row>
        <row r="38">
          <cell r="B38" t="str">
            <v>LPM-155-19: Understanding Profitability in Life Insurance</v>
          </cell>
        </row>
        <row r="39">
          <cell r="B39" t="str">
            <v>Evolving Strategies to Improve Inforce Post-Level Term Profitability, Product Matters, Feb 2015, pp. 23-29</v>
          </cell>
        </row>
        <row r="40">
          <cell r="B40" t="str">
            <v>LPM-147-17: Life Insurance: Focusing on the Consumer (excluding Appendices)</v>
          </cell>
        </row>
        <row r="41">
          <cell r="B41" t="str">
            <v>LPM-156-19: The Impact of Stochastic Volatility on Pricing, Hedging and Hedge Efficiency of Withdrawal Benefit Guarantees in Variable Annuities (Note: Candidates not responsible for mathematical derivations or detailed results, but should understand concepts and methodology)</v>
          </cell>
        </row>
        <row r="42">
          <cell r="B42" t="str">
            <v>LPM-157-19: Diversification of Longevity and Mortality Risk</v>
          </cell>
        </row>
        <row r="43">
          <cell r="B43" t="str">
            <v>LPM-168-20: LexisNexis® Risk Classifier – Stratifying Mortality Risk Using Alternative Data Sources</v>
          </cell>
        </row>
        <row r="44">
          <cell r="B44" t="str">
            <v>LPM-172-23: Canadian Life and Health Insurance Guidelines (CLHIA) - Guideline G-6 – Illustrations</v>
          </cell>
        </row>
        <row r="45">
          <cell r="B45" t="str">
            <v>LPM-171-21: Excerpts from Ch. 12 of Statutory Valuation of Individual Life and Annuity Contracts, Claire, Lombardi and Summers, 5th Edition (sections 12.3 &amp; 12.4 only)</v>
          </cell>
        </row>
        <row r="46">
          <cell r="B46" t="str">
            <v>Credibility Methods Applied to Life, Health, and Pensions, Society of Actuaries, 2019 (only pages 1-25)</v>
          </cell>
        </row>
        <row r="47">
          <cell r="B47" t="str">
            <v>The Application of Credibility Theory in the Canadian Life Insurance Industry, Society of Actuaries and Canadian Institute of Actuaries, 2019 (excluding appendices)</v>
          </cell>
        </row>
        <row r="48">
          <cell r="B48" t="str">
            <v>Mechanics of Dividends, SOA Research Institute, Dale Hagstrom, Mar 2022</v>
          </cell>
        </row>
        <row r="49">
          <cell r="B49" t="str">
            <v>Experience Study Calculations, Oct 2016, sections 2-4, 11, 12 15, 17 &amp; 18 (excluding 18.2, 18.8 &amp; 18.9)</v>
          </cell>
        </row>
        <row r="50">
          <cell r="B50" t="str">
            <v>Actuarial Guideline XLIX (AG49): Past, Present and Future, Product Matters, Jun 2023</v>
          </cell>
        </row>
        <row r="51">
          <cell r="B51" t="str">
            <v>ASOP 24: Compliance with the NAIC Life Illustrations Model Regulation , December 2016</v>
          </cell>
        </row>
        <row r="52">
          <cell r="B52" t="str">
            <v>Life Insurance for the Digital Age:  An End-to-End View , Product Matters, Nov 2017</v>
          </cell>
        </row>
        <row r="53">
          <cell r="B53" t="str">
            <v>NAIC Accelerated Underwriting In Life Insurance Educational Report (excluding appendix A), April 2022</v>
          </cell>
        </row>
        <row r="54">
          <cell r="B54" t="str">
            <v>Life, Health &amp; Annuity Reinsurance, Tiller, John E. and Tiller, Denise, 4th Edition, 2015 - Ch. 4: Basic Methods of Reinsurance</v>
          </cell>
        </row>
        <row r="55">
          <cell r="B55" t="str">
            <v>Life, Health &amp; Annuity Reinsurance, Tiller, John E. and Tiller, Denise, 4th Edition, 2015 - Ch. 5: Advanced Methods and Structures of Reinsurance</v>
          </cell>
        </row>
        <row r="56">
          <cell r="B56" t="str">
            <v>Life, Health &amp; Annuity Reinsurance, Tiller, John E. and Tiller, Denise, 4th Edition, 2015 - Ch. 6: Assumption</v>
          </cell>
        </row>
        <row r="57">
          <cell r="B57" t="str">
            <v>Life, Health &amp; Annuity Reinsurance, Tiller, John E. and Tiller, Denise, 4th Edition, 2015 - Ch. 7: Reinsurance of Inforce Risks</v>
          </cell>
        </row>
        <row r="58">
          <cell r="B58" t="str">
            <v>Life, Health &amp; Annuity Reinsurance, Tiller, John E. and Tiller, Denise, 4th Edition, 2015 - Ch. 9: Risk Transfer Considerations (pp. 269-280)</v>
          </cell>
        </row>
        <row r="59">
          <cell r="B59" t="str">
            <v>Life, Health &amp; Annuity Reinsurance, Tiller, John E. and Tiller, Denise, 4th Edition, 2015 - Ch. 17: Nonproportional Reinsurance</v>
          </cell>
        </row>
        <row r="60">
          <cell r="B60" t="str">
            <v>LPM-160-19: Strategic Reinsurance and Insurance: The Increasing Trend of Customized Solutions, pp. 1-4, 14-15 &amp; 18-31</v>
          </cell>
        </row>
        <row r="86">
          <cell r="A86" t="str">
            <v>LO#1</v>
          </cell>
          <cell r="B86" t="str">
            <v>Retrieval</v>
          </cell>
        </row>
        <row r="87">
          <cell r="A87" t="str">
            <v>LO#2</v>
          </cell>
          <cell r="B87" t="str">
            <v>Comprehension</v>
          </cell>
        </row>
        <row r="88">
          <cell r="A88" t="str">
            <v>LO#3</v>
          </cell>
          <cell r="B88" t="str">
            <v>Analysis</v>
          </cell>
        </row>
        <row r="89">
          <cell r="A89" t="str">
            <v>LO#4</v>
          </cell>
          <cell r="B89" t="str">
            <v>Knowledge Utilization</v>
          </cell>
        </row>
      </sheetData>
      <sheetData sheetId="5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 1 (a)"/>
      <sheetName val="Question 1 (b)"/>
      <sheetName val="Question 1 (c)"/>
      <sheetName val="Question 3 (b)"/>
      <sheetName val="Question 5 Information"/>
      <sheetName val="Question 5 (b)(i)"/>
      <sheetName val="Question 5 (b)(ii)"/>
      <sheetName val="Question 6 (a)"/>
      <sheetName val="Question 7 (a)"/>
      <sheetName val="Question 7 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7">
          <cell r="B47">
            <v>0.8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 1 (a)"/>
      <sheetName val="Question 1 (b)"/>
      <sheetName val="Question 1 (c)"/>
      <sheetName val="Question 3 (b)"/>
      <sheetName val="Question 5 Information"/>
      <sheetName val="Question 5 (b)(i)"/>
      <sheetName val="Question 5 (b)(ii)"/>
      <sheetName val="Question 6 (a)"/>
      <sheetName val="Question 7 (a)"/>
      <sheetName val="Question 7 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4">
          <cell r="B24">
            <v>0.75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 1 (a)"/>
      <sheetName val="Question 1 (b)"/>
      <sheetName val="Question 1 (c)"/>
      <sheetName val="Question 3 (b)"/>
      <sheetName val="Question 5 Information"/>
      <sheetName val="Question 5 (b)(i)"/>
      <sheetName val="Question 5 (b)(ii)"/>
      <sheetName val="Question 6 (a)"/>
      <sheetName val="Question 7 (a)"/>
      <sheetName val="Question 7 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B8">
            <v>1.4999999999999999E-2</v>
          </cell>
        </row>
        <row r="9">
          <cell r="B9">
            <v>0.01</v>
          </cell>
        </row>
      </sheetData>
      <sheetData sheetId="8">
        <row r="30">
          <cell r="B30">
            <v>0.04</v>
          </cell>
        </row>
      </sheetData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5 Information"/>
      <sheetName val="Lookups"/>
    </sheetNames>
    <sheetDataSet>
      <sheetData sheetId="0">
        <row r="3">
          <cell r="B3">
            <v>500000</v>
          </cell>
        </row>
        <row r="4">
          <cell r="B4">
            <v>12</v>
          </cell>
        </row>
        <row r="5">
          <cell r="B5">
            <v>25</v>
          </cell>
        </row>
        <row r="7">
          <cell r="B7">
            <v>0.9</v>
          </cell>
        </row>
        <row r="8">
          <cell r="B8">
            <v>7.4</v>
          </cell>
        </row>
        <row r="10">
          <cell r="B10">
            <v>0.85</v>
          </cell>
        </row>
        <row r="11">
          <cell r="B11">
            <v>0.08</v>
          </cell>
        </row>
        <row r="12">
          <cell r="B12">
            <v>2.5000000000000001E-2</v>
          </cell>
        </row>
        <row r="15">
          <cell r="B15">
            <v>100000</v>
          </cell>
        </row>
        <row r="17">
          <cell r="B17">
            <v>0.55000000000000004</v>
          </cell>
        </row>
        <row r="18">
          <cell r="B18">
            <v>0.66</v>
          </cell>
        </row>
        <row r="20">
          <cell r="B20">
            <v>0.92</v>
          </cell>
        </row>
        <row r="21">
          <cell r="B21">
            <v>0.98</v>
          </cell>
        </row>
        <row r="22">
          <cell r="B22">
            <v>10</v>
          </cell>
        </row>
        <row r="23">
          <cell r="B23">
            <v>0.75</v>
          </cell>
        </row>
        <row r="25">
          <cell r="B25">
            <v>0.95</v>
          </cell>
        </row>
        <row r="26">
          <cell r="B26">
            <v>0.1</v>
          </cell>
        </row>
        <row r="29">
          <cell r="B29">
            <v>800</v>
          </cell>
        </row>
        <row r="30">
          <cell r="B30">
            <v>0.06</v>
          </cell>
        </row>
        <row r="31">
          <cell r="B31">
            <v>350</v>
          </cell>
        </row>
        <row r="32">
          <cell r="B32">
            <v>25</v>
          </cell>
        </row>
        <row r="35">
          <cell r="B35">
            <v>1000</v>
          </cell>
        </row>
        <row r="36">
          <cell r="B36">
            <v>0.06</v>
          </cell>
        </row>
        <row r="37">
          <cell r="B37">
            <v>30</v>
          </cell>
        </row>
        <row r="38">
          <cell r="B38">
            <v>15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Question 1 (a)"/>
      <sheetName val="Question 1 (b)"/>
      <sheetName val="Question 1 (c)"/>
      <sheetName val="Question 3 (b)"/>
      <sheetName val="Question 5 Information"/>
      <sheetName val="Question 5 (b)(i)"/>
      <sheetName val="Question 5 (b)(ii)"/>
      <sheetName val="Question 6 (a)"/>
      <sheetName val="Question 7 (a)"/>
      <sheetName val="Question 7 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4">
          <cell r="B24">
            <v>0.75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opLeftCell="A44" zoomScale="70" zoomScaleNormal="70" workbookViewId="0">
      <selection activeCell="D70" sqref="D70"/>
    </sheetView>
  </sheetViews>
  <sheetFormatPr defaultColWidth="9.140625" defaultRowHeight="15" x14ac:dyDescent="0.25"/>
  <cols>
    <col min="1" max="1" width="34.42578125" style="2" customWidth="1"/>
    <col min="2" max="2" width="10.85546875" style="2" customWidth="1"/>
    <col min="3" max="3" width="12.85546875" style="2" customWidth="1"/>
    <col min="4" max="4" width="20.140625" style="2" customWidth="1"/>
    <col min="5" max="5" width="18.7109375" style="2" customWidth="1"/>
    <col min="6" max="6" width="13.42578125" style="2" customWidth="1"/>
    <col min="7" max="7" width="14.7109375" style="2" customWidth="1"/>
    <col min="8" max="8" width="14.85546875" style="2" customWidth="1"/>
    <col min="9" max="9" width="17.85546875" style="2" customWidth="1"/>
    <col min="10" max="10" width="14.140625" style="2" customWidth="1"/>
    <col min="11" max="11" width="15.7109375" style="2" customWidth="1"/>
    <col min="12" max="12" width="20.85546875" style="2" customWidth="1"/>
    <col min="13" max="16384" width="9.140625" style="2"/>
  </cols>
  <sheetData>
    <row r="1" spans="1:13" ht="18.75" x14ac:dyDescent="0.25">
      <c r="A1" s="4" t="s">
        <v>5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</row>
    <row r="2" spans="1:13" ht="18.75" x14ac:dyDescent="0.25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</row>
    <row r="3" spans="1:13" ht="18.75" x14ac:dyDescent="0.25">
      <c r="A3" s="4" t="s">
        <v>8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</row>
    <row r="4" spans="1:13" ht="18.75" x14ac:dyDescent="0.25">
      <c r="A4" s="4" t="s">
        <v>9</v>
      </c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</row>
    <row r="5" spans="1:13" ht="18.75" x14ac:dyDescent="0.25">
      <c r="A5" s="4" t="s">
        <v>10</v>
      </c>
      <c r="B5" s="7"/>
      <c r="C5" s="7"/>
      <c r="D5" s="7"/>
      <c r="E5" s="7"/>
      <c r="F5" s="7"/>
      <c r="G5" s="6"/>
      <c r="H5" s="6"/>
      <c r="I5" s="6"/>
      <c r="J5" s="6"/>
      <c r="K5" s="6"/>
      <c r="L5" s="6"/>
      <c r="M5" s="6"/>
    </row>
    <row r="6" spans="1:13" s="3" customFormat="1" ht="18.75" x14ac:dyDescent="0.25">
      <c r="A6" s="4" t="s">
        <v>11</v>
      </c>
      <c r="B6" s="7"/>
      <c r="C6" s="7"/>
      <c r="D6" s="7"/>
      <c r="E6" s="7"/>
      <c r="F6" s="7"/>
      <c r="G6" s="6"/>
      <c r="H6" s="6"/>
      <c r="I6" s="6"/>
      <c r="J6" s="6"/>
      <c r="K6" s="6"/>
      <c r="L6" s="6"/>
      <c r="M6" s="6"/>
    </row>
    <row r="7" spans="1:13" s="3" customFormat="1" ht="18.75" x14ac:dyDescent="0.25">
      <c r="A7" s="4" t="s">
        <v>12</v>
      </c>
      <c r="B7" s="7"/>
      <c r="C7" s="7"/>
      <c r="D7" s="7"/>
      <c r="E7" s="7"/>
      <c r="F7" s="7"/>
      <c r="G7" s="6"/>
      <c r="H7" s="6"/>
      <c r="I7" s="6"/>
      <c r="J7" s="6"/>
      <c r="K7" s="6"/>
      <c r="L7" s="6"/>
      <c r="M7" s="6"/>
    </row>
    <row r="8" spans="1:13" s="1" customFormat="1" ht="18.75" x14ac:dyDescent="0.25">
      <c r="A8" s="4" t="s">
        <v>13</v>
      </c>
      <c r="B8" s="7"/>
      <c r="C8" s="7"/>
      <c r="D8" s="7"/>
      <c r="E8" s="7"/>
      <c r="F8" s="7"/>
      <c r="G8" s="6"/>
      <c r="H8" s="6"/>
      <c r="I8" s="6"/>
      <c r="J8" s="6"/>
      <c r="K8" s="6"/>
      <c r="L8" s="6"/>
      <c r="M8" s="6"/>
    </row>
    <row r="9" spans="1:13" s="1" customFormat="1" ht="18.75" x14ac:dyDescent="0.25">
      <c r="A9" s="4" t="s">
        <v>14</v>
      </c>
      <c r="B9" s="7"/>
      <c r="C9" s="7"/>
      <c r="D9" s="7"/>
      <c r="E9" s="7"/>
      <c r="F9" s="7"/>
      <c r="G9" s="6"/>
      <c r="H9" s="6"/>
      <c r="I9" s="6"/>
      <c r="J9" s="6"/>
      <c r="K9" s="6"/>
      <c r="L9" s="6"/>
      <c r="M9" s="6"/>
    </row>
    <row r="10" spans="1:13" s="1" customFormat="1" ht="18.75" x14ac:dyDescent="0.25">
      <c r="A10" s="4" t="s">
        <v>15</v>
      </c>
      <c r="B10" s="7"/>
      <c r="C10" s="7"/>
      <c r="D10" s="7"/>
      <c r="E10" s="7"/>
      <c r="F10" s="7"/>
      <c r="G10" s="6"/>
      <c r="H10" s="6"/>
      <c r="I10" s="6"/>
      <c r="J10" s="6"/>
      <c r="K10" s="6"/>
      <c r="L10" s="6"/>
      <c r="M10" s="6"/>
    </row>
    <row r="11" spans="1:13" s="1" customFormat="1" ht="15.75" customHeight="1" x14ac:dyDescent="0.25">
      <c r="A11" s="4" t="s">
        <v>40</v>
      </c>
      <c r="B11" s="20">
        <v>1000</v>
      </c>
      <c r="C11" s="7"/>
      <c r="D11" s="7"/>
      <c r="E11" s="7"/>
      <c r="F11" s="7"/>
      <c r="G11" s="6"/>
      <c r="H11" s="6"/>
      <c r="I11" s="6"/>
      <c r="J11" s="6"/>
      <c r="K11" s="6"/>
      <c r="L11" s="6"/>
      <c r="M11" s="6"/>
    </row>
    <row r="12" spans="1:13" s="3" customFormat="1" ht="18.75" x14ac:dyDescent="0.25">
      <c r="A12" s="4" t="s">
        <v>41</v>
      </c>
      <c r="B12" s="20">
        <v>100</v>
      </c>
      <c r="C12" s="7"/>
      <c r="D12" s="7"/>
      <c r="E12" s="7"/>
      <c r="F12" s="7"/>
      <c r="G12" s="6"/>
      <c r="H12" s="6"/>
      <c r="I12" s="6"/>
      <c r="J12" s="6"/>
      <c r="K12" s="6"/>
      <c r="L12" s="6"/>
      <c r="M12" s="6"/>
    </row>
    <row r="13" spans="1:13" s="3" customFormat="1" ht="19.5" thickBot="1" x14ac:dyDescent="0.3">
      <c r="A13" s="4"/>
      <c r="B13" s="7"/>
      <c r="C13" s="7"/>
      <c r="D13" s="7"/>
      <c r="E13" s="7"/>
      <c r="F13" s="7"/>
      <c r="G13" s="6"/>
      <c r="H13" s="6"/>
      <c r="I13" s="6"/>
      <c r="J13" s="6"/>
      <c r="K13" s="6"/>
      <c r="L13" s="6"/>
      <c r="M13" s="6"/>
    </row>
    <row r="14" spans="1:13" s="3" customFormat="1" ht="16.5" thickBot="1" x14ac:dyDescent="0.3">
      <c r="A14" s="8" t="s">
        <v>16</v>
      </c>
      <c r="B14" s="9">
        <v>1</v>
      </c>
      <c r="C14" s="10" t="s">
        <v>17</v>
      </c>
      <c r="D14" s="7"/>
      <c r="E14" s="7"/>
      <c r="F14" s="8" t="s">
        <v>16</v>
      </c>
      <c r="G14" s="11" t="s">
        <v>18</v>
      </c>
      <c r="H14" s="6"/>
      <c r="I14" s="6"/>
      <c r="J14" s="6"/>
      <c r="K14" s="6"/>
      <c r="L14" s="6"/>
      <c r="M14" s="6"/>
    </row>
    <row r="15" spans="1:13" s="3" customFormat="1" ht="16.5" thickBot="1" x14ac:dyDescent="0.3">
      <c r="A15" s="12" t="s">
        <v>19</v>
      </c>
      <c r="B15" s="13">
        <v>3</v>
      </c>
      <c r="C15" s="13">
        <v>3</v>
      </c>
      <c r="D15" s="7"/>
      <c r="E15" s="7"/>
      <c r="F15" s="14">
        <v>1</v>
      </c>
      <c r="G15" s="15">
        <v>1.6999999999999999E-3</v>
      </c>
      <c r="H15" s="6"/>
      <c r="I15" s="6"/>
      <c r="J15" s="6"/>
      <c r="K15" s="6"/>
      <c r="L15" s="6"/>
      <c r="M15" s="6"/>
    </row>
    <row r="16" spans="1:13" s="3" customFormat="1" ht="16.5" thickBot="1" x14ac:dyDescent="0.3">
      <c r="A16" s="12" t="s">
        <v>20</v>
      </c>
      <c r="B16" s="16">
        <v>0.03</v>
      </c>
      <c r="C16" s="16">
        <v>0.03</v>
      </c>
      <c r="D16" s="7"/>
      <c r="E16" s="7"/>
      <c r="F16" s="14">
        <v>2</v>
      </c>
      <c r="G16" s="15">
        <v>2.0999999999999999E-3</v>
      </c>
      <c r="H16" s="6"/>
      <c r="I16" s="6"/>
      <c r="J16" s="6"/>
      <c r="K16" s="6"/>
      <c r="L16" s="6"/>
      <c r="M16" s="6"/>
    </row>
    <row r="17" spans="1:13" s="3" customFormat="1" ht="16.5" thickBot="1" x14ac:dyDescent="0.3">
      <c r="A17" s="12" t="s">
        <v>21</v>
      </c>
      <c r="B17" s="17">
        <v>0.8</v>
      </c>
      <c r="C17" s="17">
        <v>0.02</v>
      </c>
      <c r="D17" s="7"/>
      <c r="E17" s="7"/>
      <c r="F17" s="14">
        <v>3</v>
      </c>
      <c r="G17" s="15">
        <v>2.5000000000000001E-3</v>
      </c>
      <c r="H17" s="6"/>
      <c r="I17" s="6"/>
      <c r="J17" s="6"/>
      <c r="K17" s="6"/>
      <c r="L17" s="6"/>
      <c r="M17" s="6"/>
    </row>
    <row r="18" spans="1:13" s="3" customFormat="1" ht="16.5" thickBot="1" x14ac:dyDescent="0.3">
      <c r="A18" s="12" t="s">
        <v>22</v>
      </c>
      <c r="B18" s="13">
        <v>100</v>
      </c>
      <c r="C18" s="13">
        <v>0</v>
      </c>
      <c r="D18" s="7"/>
      <c r="E18" s="7"/>
      <c r="F18" s="14">
        <v>4</v>
      </c>
      <c r="G18" s="15">
        <v>2.8E-3</v>
      </c>
      <c r="H18" s="18"/>
      <c r="I18" s="6"/>
      <c r="J18" s="6"/>
      <c r="K18" s="6"/>
      <c r="L18" s="6"/>
      <c r="M18" s="6"/>
    </row>
    <row r="19" spans="1:13" s="3" customFormat="1" ht="32.25" thickBot="1" x14ac:dyDescent="0.3">
      <c r="A19" s="12" t="s">
        <v>23</v>
      </c>
      <c r="B19" s="13">
        <v>50</v>
      </c>
      <c r="C19" s="13">
        <v>0</v>
      </c>
      <c r="D19" s="7"/>
      <c r="E19" s="7"/>
      <c r="F19" s="14">
        <v>5</v>
      </c>
      <c r="G19" s="15">
        <v>2.8999999999999998E-3</v>
      </c>
      <c r="H19" s="6"/>
      <c r="I19" s="6"/>
      <c r="J19" s="6"/>
      <c r="K19" s="6"/>
      <c r="L19" s="6"/>
      <c r="M19" s="6"/>
    </row>
    <row r="20" spans="1:13" s="3" customFormat="1" ht="16.5" thickBot="1" x14ac:dyDescent="0.3">
      <c r="A20" s="12" t="s">
        <v>24</v>
      </c>
      <c r="B20" s="13">
        <v>35</v>
      </c>
      <c r="C20" s="13">
        <v>35</v>
      </c>
      <c r="D20" s="7"/>
      <c r="E20" s="7"/>
      <c r="F20" s="14">
        <v>6</v>
      </c>
      <c r="G20" s="15">
        <v>3.5000000000000001E-3</v>
      </c>
      <c r="H20" s="6"/>
      <c r="I20" s="6"/>
      <c r="J20" s="6"/>
      <c r="K20" s="6"/>
      <c r="L20" s="6"/>
      <c r="M20" s="6"/>
    </row>
    <row r="21" spans="1:13" s="3" customFormat="1" ht="16.5" thickBot="1" x14ac:dyDescent="0.3">
      <c r="A21" s="12" t="s">
        <v>25</v>
      </c>
      <c r="B21" s="19">
        <v>1000</v>
      </c>
      <c r="C21" s="19">
        <v>1000</v>
      </c>
      <c r="D21" s="7"/>
      <c r="E21" s="7"/>
      <c r="F21" s="14">
        <v>7</v>
      </c>
      <c r="G21" s="15">
        <v>3.7000000000000002E-3</v>
      </c>
      <c r="H21" s="6"/>
      <c r="I21" s="6"/>
      <c r="J21" s="6"/>
      <c r="K21" s="6"/>
      <c r="L21" s="6"/>
      <c r="M21" s="6"/>
    </row>
    <row r="22" spans="1:13" s="3" customFormat="1" ht="16.5" thickBot="1" x14ac:dyDescent="0.3">
      <c r="A22" s="12" t="s">
        <v>4</v>
      </c>
      <c r="B22" s="16">
        <v>2.2499999999999999E-2</v>
      </c>
      <c r="C22" s="16">
        <v>2.2499999999999999E-2</v>
      </c>
      <c r="D22" s="7"/>
      <c r="E22" s="7"/>
      <c r="F22" s="14">
        <v>8</v>
      </c>
      <c r="G22" s="15">
        <v>3.8999999999999998E-3</v>
      </c>
      <c r="H22" s="6"/>
      <c r="I22" s="6"/>
      <c r="J22" s="6"/>
      <c r="K22" s="6"/>
      <c r="L22" s="6"/>
      <c r="M22" s="6"/>
    </row>
    <row r="23" spans="1:13" s="3" customFormat="1" ht="16.5" thickBot="1" x14ac:dyDescent="0.3">
      <c r="A23" s="20"/>
      <c r="B23" s="7"/>
      <c r="C23" s="7"/>
      <c r="D23" s="7"/>
      <c r="E23" s="7"/>
      <c r="F23" s="14">
        <v>9</v>
      </c>
      <c r="G23" s="15">
        <v>4.1000000000000003E-3</v>
      </c>
      <c r="H23" s="6"/>
      <c r="I23" s="6"/>
      <c r="J23" s="6"/>
      <c r="K23" s="6"/>
      <c r="L23" s="6"/>
      <c r="M23" s="6"/>
    </row>
    <row r="24" spans="1:13" ht="16.5" thickBot="1" x14ac:dyDescent="0.3">
      <c r="A24" s="6"/>
      <c r="B24" s="6"/>
      <c r="C24" s="6"/>
      <c r="D24" s="6"/>
      <c r="E24" s="6"/>
      <c r="F24" s="14">
        <v>10</v>
      </c>
      <c r="G24" s="15">
        <v>4.4999999999999997E-3</v>
      </c>
      <c r="H24" s="6"/>
      <c r="I24" s="6"/>
      <c r="J24" s="6"/>
      <c r="K24" s="6"/>
      <c r="L24" s="6"/>
      <c r="M24" s="6"/>
    </row>
    <row r="25" spans="1:13" ht="15.7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.75" x14ac:dyDescent="0.25">
      <c r="A26" s="6" t="s">
        <v>26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5.7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9" spans="1:13" ht="15.75" x14ac:dyDescent="0.25">
      <c r="A29" s="1" t="s">
        <v>0</v>
      </c>
    </row>
    <row r="30" spans="1:13" x14ac:dyDescent="0.25">
      <c r="B30" s="21"/>
    </row>
    <row r="31" spans="1:13" x14ac:dyDescent="0.25">
      <c r="A31" s="2" t="s">
        <v>1</v>
      </c>
      <c r="B31" s="21" t="s">
        <v>27</v>
      </c>
    </row>
    <row r="32" spans="1:13" x14ac:dyDescent="0.25">
      <c r="B32" s="21"/>
    </row>
    <row r="33" spans="1:12" x14ac:dyDescent="0.25">
      <c r="A33" s="22" t="s">
        <v>34</v>
      </c>
      <c r="B33" s="21"/>
    </row>
    <row r="34" spans="1:12" s="21" customFormat="1" x14ac:dyDescent="0.25">
      <c r="B34" s="27" t="s">
        <v>16</v>
      </c>
      <c r="C34" s="28" t="s">
        <v>39</v>
      </c>
      <c r="D34" s="28" t="s">
        <v>35</v>
      </c>
      <c r="E34" s="28" t="s">
        <v>36</v>
      </c>
      <c r="F34" s="28" t="s">
        <v>37</v>
      </c>
      <c r="G34" s="28" t="s">
        <v>38</v>
      </c>
    </row>
    <row r="35" spans="1:12" x14ac:dyDescent="0.25">
      <c r="B35" s="34">
        <v>0</v>
      </c>
      <c r="D35" s="39"/>
      <c r="E35" s="39">
        <f t="shared" ref="E35:E45" si="0">$B$11*C36</f>
        <v>1000</v>
      </c>
      <c r="F35" s="39"/>
      <c r="G35" s="41">
        <f>E35*$B$12</f>
        <v>100000</v>
      </c>
    </row>
    <row r="36" spans="1:12" x14ac:dyDescent="0.25">
      <c r="B36" s="34">
        <v>1</v>
      </c>
      <c r="C36" s="39">
        <v>1</v>
      </c>
      <c r="D36" s="49">
        <f t="shared" ref="D36:D45" si="1">C36*G15*$B$11</f>
        <v>1.7</v>
      </c>
      <c r="E36" s="39">
        <f t="shared" si="0"/>
        <v>998.3</v>
      </c>
      <c r="F36" s="50">
        <f>D36*$B$12</f>
        <v>170</v>
      </c>
      <c r="G36" s="41">
        <f>G35-F36</f>
        <v>99830</v>
      </c>
    </row>
    <row r="37" spans="1:12" x14ac:dyDescent="0.25">
      <c r="B37" s="34">
        <v>2</v>
      </c>
      <c r="C37" s="48">
        <f t="shared" ref="C37:C45" si="2">C36*(1-G15)</f>
        <v>0.99829999999999997</v>
      </c>
      <c r="D37" s="49">
        <f t="shared" si="1"/>
        <v>2.0964299999999998</v>
      </c>
      <c r="E37" s="39">
        <f t="shared" si="0"/>
        <v>996.2035699999999</v>
      </c>
      <c r="F37" s="50">
        <f t="shared" ref="F37:F45" si="3">D37*$B$12</f>
        <v>209.64299999999997</v>
      </c>
      <c r="G37" s="41">
        <f t="shared" ref="G37:G44" si="4">G36-F37</f>
        <v>99620.357000000004</v>
      </c>
    </row>
    <row r="38" spans="1:12" x14ac:dyDescent="0.25">
      <c r="B38" s="34">
        <v>3</v>
      </c>
      <c r="C38" s="48">
        <f t="shared" si="2"/>
        <v>0.99620356999999993</v>
      </c>
      <c r="D38" s="49">
        <f t="shared" si="1"/>
        <v>2.4905089249999999</v>
      </c>
      <c r="E38" s="39">
        <f t="shared" si="0"/>
        <v>993.71306107500004</v>
      </c>
      <c r="F38" s="50">
        <f t="shared" si="3"/>
        <v>249.05089249999997</v>
      </c>
      <c r="G38" s="41">
        <f t="shared" si="4"/>
        <v>99371.306107500001</v>
      </c>
    </row>
    <row r="39" spans="1:12" x14ac:dyDescent="0.25">
      <c r="B39" s="34">
        <v>4</v>
      </c>
      <c r="C39" s="48">
        <f t="shared" si="2"/>
        <v>0.99371306107500001</v>
      </c>
      <c r="D39" s="49">
        <f t="shared" si="1"/>
        <v>2.78239657101</v>
      </c>
      <c r="E39" s="39">
        <f t="shared" si="0"/>
        <v>990.93066450398999</v>
      </c>
      <c r="F39" s="50">
        <f t="shared" si="3"/>
        <v>278.23965710099998</v>
      </c>
      <c r="G39" s="41">
        <f t="shared" si="4"/>
        <v>99093.066450398997</v>
      </c>
    </row>
    <row r="40" spans="1:12" x14ac:dyDescent="0.25">
      <c r="B40" s="34">
        <v>5</v>
      </c>
      <c r="C40" s="48">
        <f t="shared" si="2"/>
        <v>0.99093066450399003</v>
      </c>
      <c r="D40" s="49">
        <f t="shared" si="1"/>
        <v>2.8736989270615707</v>
      </c>
      <c r="E40" s="39">
        <f t="shared" si="0"/>
        <v>988.05696557692841</v>
      </c>
      <c r="F40" s="50">
        <f t="shared" si="3"/>
        <v>287.36989270615709</v>
      </c>
      <c r="G40" s="41">
        <f t="shared" si="4"/>
        <v>98805.696557692834</v>
      </c>
    </row>
    <row r="41" spans="1:12" x14ac:dyDescent="0.25">
      <c r="B41" s="34">
        <v>6</v>
      </c>
      <c r="C41" s="48">
        <f t="shared" si="2"/>
        <v>0.98805696557692846</v>
      </c>
      <c r="D41" s="49">
        <f t="shared" si="1"/>
        <v>3.4581993795192498</v>
      </c>
      <c r="E41" s="39">
        <f t="shared" si="0"/>
        <v>984.5987661974093</v>
      </c>
      <c r="F41" s="50">
        <f t="shared" si="3"/>
        <v>345.819937951925</v>
      </c>
      <c r="G41" s="41">
        <f t="shared" si="4"/>
        <v>98459.876619740913</v>
      </c>
    </row>
    <row r="42" spans="1:12" x14ac:dyDescent="0.25">
      <c r="B42" s="34">
        <v>7</v>
      </c>
      <c r="C42" s="48">
        <f t="shared" si="2"/>
        <v>0.98459876619740927</v>
      </c>
      <c r="D42" s="49">
        <f t="shared" si="1"/>
        <v>3.6430154349304145</v>
      </c>
      <c r="E42" s="39">
        <f t="shared" si="0"/>
        <v>980.95575076247883</v>
      </c>
      <c r="F42" s="50">
        <f t="shared" si="3"/>
        <v>364.30154349304144</v>
      </c>
      <c r="G42" s="41">
        <f t="shared" si="4"/>
        <v>98095.575076247871</v>
      </c>
    </row>
    <row r="43" spans="1:12" x14ac:dyDescent="0.25">
      <c r="B43" s="34">
        <v>8</v>
      </c>
      <c r="C43" s="48">
        <f t="shared" si="2"/>
        <v>0.98095575076247887</v>
      </c>
      <c r="D43" s="49">
        <f t="shared" si="1"/>
        <v>3.8257274279736673</v>
      </c>
      <c r="E43" s="39">
        <f t="shared" si="0"/>
        <v>977.13002333450515</v>
      </c>
      <c r="F43" s="50">
        <f t="shared" si="3"/>
        <v>382.57274279736674</v>
      </c>
      <c r="G43" s="41">
        <f t="shared" si="4"/>
        <v>97713.002333450509</v>
      </c>
    </row>
    <row r="44" spans="1:12" x14ac:dyDescent="0.25">
      <c r="B44" s="34">
        <v>9</v>
      </c>
      <c r="C44" s="48">
        <f t="shared" si="2"/>
        <v>0.97713002333450516</v>
      </c>
      <c r="D44" s="49">
        <f t="shared" si="1"/>
        <v>4.0062330956714716</v>
      </c>
      <c r="E44" s="39">
        <f t="shared" si="0"/>
        <v>973.12379023883364</v>
      </c>
      <c r="F44" s="50">
        <f t="shared" si="3"/>
        <v>400.62330956714715</v>
      </c>
      <c r="G44" s="41">
        <f t="shared" si="4"/>
        <v>97312.379023883361</v>
      </c>
    </row>
    <row r="45" spans="1:12" x14ac:dyDescent="0.25">
      <c r="B45" s="34">
        <v>10</v>
      </c>
      <c r="C45" s="48">
        <f t="shared" si="2"/>
        <v>0.97312379023883366</v>
      </c>
      <c r="D45" s="49">
        <f t="shared" si="1"/>
        <v>4.3790570560747515</v>
      </c>
      <c r="E45" s="39">
        <f t="shared" si="0"/>
        <v>0</v>
      </c>
      <c r="F45" s="50">
        <f t="shared" si="3"/>
        <v>437.90570560747517</v>
      </c>
      <c r="G45" s="41">
        <v>0</v>
      </c>
    </row>
    <row r="46" spans="1:12" x14ac:dyDescent="0.25">
      <c r="B46" s="21"/>
      <c r="C46" s="48"/>
    </row>
    <row r="47" spans="1:12" x14ac:dyDescent="0.25">
      <c r="A47" s="22" t="s">
        <v>42</v>
      </c>
      <c r="B47" s="21"/>
    </row>
    <row r="48" spans="1:12" s="29" customFormat="1" x14ac:dyDescent="0.25">
      <c r="B48" s="31" t="s">
        <v>16</v>
      </c>
      <c r="C48" s="30" t="s">
        <v>43</v>
      </c>
      <c r="D48" s="30" t="s">
        <v>44</v>
      </c>
      <c r="E48" s="30" t="s">
        <v>45</v>
      </c>
      <c r="F48" s="30" t="s">
        <v>46</v>
      </c>
      <c r="G48" s="30" t="s">
        <v>47</v>
      </c>
      <c r="H48" s="30" t="s">
        <v>48</v>
      </c>
      <c r="I48" s="30" t="s">
        <v>49</v>
      </c>
      <c r="J48" s="30" t="s">
        <v>50</v>
      </c>
      <c r="K48" s="30" t="s">
        <v>51</v>
      </c>
      <c r="L48" s="30" t="s">
        <v>52</v>
      </c>
    </row>
    <row r="49" spans="1:12" x14ac:dyDescent="0.25">
      <c r="B49" s="34">
        <v>1</v>
      </c>
      <c r="C49" s="37">
        <f>B16</f>
        <v>0.03</v>
      </c>
      <c r="D49" s="38">
        <f>(1/(1+C49))^(B49-1)</f>
        <v>1</v>
      </c>
      <c r="E49" s="39">
        <f>(1/(1+C49))^(B49)</f>
        <v>0.970873786407767</v>
      </c>
      <c r="F49" s="40">
        <f>B15*G35</f>
        <v>300000</v>
      </c>
      <c r="G49" s="40">
        <f>F49*D49</f>
        <v>300000</v>
      </c>
      <c r="H49" s="41">
        <f>B21*D36</f>
        <v>1700</v>
      </c>
      <c r="I49" s="40">
        <f>H49*E49</f>
        <v>1650.485436893204</v>
      </c>
      <c r="J49" s="41">
        <f>F36*1000</f>
        <v>170000</v>
      </c>
      <c r="K49" s="40">
        <f>J49*E49</f>
        <v>165048.54368932039</v>
      </c>
      <c r="L49" s="40">
        <f>I49+K49</f>
        <v>166699.0291262136</v>
      </c>
    </row>
    <row r="50" spans="1:12" x14ac:dyDescent="0.25">
      <c r="B50" s="34">
        <v>2</v>
      </c>
      <c r="C50" s="37">
        <f>$C$16</f>
        <v>0.03</v>
      </c>
      <c r="D50" s="42">
        <f t="shared" ref="D50:D58" si="5">(1/(1+C50))^(B50-1)</f>
        <v>0.970873786407767</v>
      </c>
      <c r="E50" s="39">
        <f t="shared" ref="E50:E58" si="6">(1/(1+C50))^(B50)</f>
        <v>0.94259590913375435</v>
      </c>
      <c r="F50" s="40">
        <f t="shared" ref="F50:F58" si="7">$C$15*G36</f>
        <v>299490</v>
      </c>
      <c r="G50" s="40">
        <f t="shared" ref="G50:G58" si="8">F50*D50</f>
        <v>290766.99029126216</v>
      </c>
      <c r="H50" s="41">
        <f t="shared" ref="H50:H58" si="9">$C$21*D37</f>
        <v>2096.4299999999998</v>
      </c>
      <c r="I50" s="40">
        <f t="shared" ref="I50:I58" si="10">H50*E50</f>
        <v>1976.0863417852765</v>
      </c>
      <c r="J50" s="41">
        <f t="shared" ref="J50:J58" si="11">F37*1000</f>
        <v>209642.99999999997</v>
      </c>
      <c r="K50" s="40">
        <f t="shared" ref="K50:K58" si="12">J50*E50</f>
        <v>197608.63417852763</v>
      </c>
      <c r="L50" s="40">
        <f t="shared" ref="L50:L58" si="13">I50+K50</f>
        <v>199584.7205203129</v>
      </c>
    </row>
    <row r="51" spans="1:12" x14ac:dyDescent="0.25">
      <c r="B51" s="34">
        <v>3</v>
      </c>
      <c r="C51" s="37">
        <f t="shared" ref="C51:C58" si="14">$C$16</f>
        <v>0.03</v>
      </c>
      <c r="D51" s="42">
        <f t="shared" si="5"/>
        <v>0.94259590913375435</v>
      </c>
      <c r="E51" s="39">
        <f t="shared" si="6"/>
        <v>0.91514165935315961</v>
      </c>
      <c r="F51" s="40">
        <f t="shared" si="7"/>
        <v>298861.071</v>
      </c>
      <c r="G51" s="40">
        <f t="shared" si="8"/>
        <v>281705.22292393248</v>
      </c>
      <c r="H51" s="41">
        <f t="shared" si="9"/>
        <v>2490.5089250000001</v>
      </c>
      <c r="I51" s="40">
        <f t="shared" si="10"/>
        <v>2279.1684702583539</v>
      </c>
      <c r="J51" s="41">
        <f t="shared" si="11"/>
        <v>249050.89249999999</v>
      </c>
      <c r="K51" s="40">
        <f t="shared" si="12"/>
        <v>227916.84702583536</v>
      </c>
      <c r="L51" s="40">
        <f t="shared" si="13"/>
        <v>230196.01549609372</v>
      </c>
    </row>
    <row r="52" spans="1:12" x14ac:dyDescent="0.25">
      <c r="B52" s="34">
        <v>4</v>
      </c>
      <c r="C52" s="37">
        <f t="shared" si="14"/>
        <v>0.03</v>
      </c>
      <c r="D52" s="42">
        <f t="shared" si="5"/>
        <v>0.91514165935315961</v>
      </c>
      <c r="E52" s="39">
        <f t="shared" si="6"/>
        <v>0.88848704791568889</v>
      </c>
      <c r="F52" s="40">
        <f t="shared" si="7"/>
        <v>298113.91832250002</v>
      </c>
      <c r="G52" s="40">
        <f t="shared" si="8"/>
        <v>272816.46588992496</v>
      </c>
      <c r="H52" s="41">
        <f t="shared" si="9"/>
        <v>2782.3965710100001</v>
      </c>
      <c r="I52" s="40">
        <f t="shared" si="10"/>
        <v>2472.1233155074106</v>
      </c>
      <c r="J52" s="41">
        <f t="shared" si="11"/>
        <v>278239.65710099996</v>
      </c>
      <c r="K52" s="40">
        <f t="shared" si="12"/>
        <v>247212.33155074099</v>
      </c>
      <c r="L52" s="40">
        <f t="shared" si="13"/>
        <v>249684.45486624839</v>
      </c>
    </row>
    <row r="53" spans="1:12" x14ac:dyDescent="0.25">
      <c r="B53" s="34">
        <v>5</v>
      </c>
      <c r="C53" s="37">
        <f t="shared" si="14"/>
        <v>0.03</v>
      </c>
      <c r="D53" s="42">
        <f t="shared" si="5"/>
        <v>0.88848704791568889</v>
      </c>
      <c r="E53" s="39">
        <f t="shared" si="6"/>
        <v>0.862608784384164</v>
      </c>
      <c r="F53" s="40">
        <f t="shared" si="7"/>
        <v>297279.19935119699</v>
      </c>
      <c r="G53" s="40">
        <f t="shared" si="8"/>
        <v>264128.71823828458</v>
      </c>
      <c r="H53" s="41">
        <f t="shared" si="9"/>
        <v>2873.6989270615709</v>
      </c>
      <c r="I53" s="40">
        <f t="shared" si="10"/>
        <v>2478.8779381586578</v>
      </c>
      <c r="J53" s="41">
        <f t="shared" si="11"/>
        <v>287369.89270615712</v>
      </c>
      <c r="K53" s="40">
        <f t="shared" si="12"/>
        <v>247887.79381586582</v>
      </c>
      <c r="L53" s="40">
        <f t="shared" si="13"/>
        <v>250366.67175402449</v>
      </c>
    </row>
    <row r="54" spans="1:12" x14ac:dyDescent="0.25">
      <c r="B54" s="34">
        <v>6</v>
      </c>
      <c r="C54" s="37">
        <f t="shared" si="14"/>
        <v>0.03</v>
      </c>
      <c r="D54" s="42">
        <f t="shared" si="5"/>
        <v>0.862608784384164</v>
      </c>
      <c r="E54" s="39">
        <f t="shared" si="6"/>
        <v>0.83748425668365434</v>
      </c>
      <c r="F54" s="40">
        <f t="shared" si="7"/>
        <v>296417.0896730785</v>
      </c>
      <c r="G54" s="40">
        <f t="shared" si="8"/>
        <v>255691.98539358599</v>
      </c>
      <c r="H54" s="41">
        <f t="shared" si="9"/>
        <v>3458.1993795192498</v>
      </c>
      <c r="I54" s="40">
        <f t="shared" si="10"/>
        <v>2896.1875368205533</v>
      </c>
      <c r="J54" s="41">
        <f t="shared" si="11"/>
        <v>345819.93795192498</v>
      </c>
      <c r="K54" s="40">
        <f t="shared" si="12"/>
        <v>289618.75368205534</v>
      </c>
      <c r="L54" s="40">
        <f t="shared" si="13"/>
        <v>292514.94121887587</v>
      </c>
    </row>
    <row r="55" spans="1:12" x14ac:dyDescent="0.25">
      <c r="B55" s="34">
        <v>7</v>
      </c>
      <c r="C55" s="37">
        <f t="shared" si="14"/>
        <v>0.03</v>
      </c>
      <c r="D55" s="42">
        <f t="shared" si="5"/>
        <v>0.83748425668365434</v>
      </c>
      <c r="E55" s="39">
        <f t="shared" si="6"/>
        <v>0.81309151134335378</v>
      </c>
      <c r="F55" s="40">
        <f t="shared" si="7"/>
        <v>295379.62985922274</v>
      </c>
      <c r="G55" s="40">
        <f t="shared" si="8"/>
        <v>247375.7897521441</v>
      </c>
      <c r="H55" s="41">
        <f t="shared" si="9"/>
        <v>3643.0154349304144</v>
      </c>
      <c r="I55" s="40">
        <f t="shared" si="10"/>
        <v>2962.1049258347357</v>
      </c>
      <c r="J55" s="41">
        <f t="shared" si="11"/>
        <v>364301.54349304142</v>
      </c>
      <c r="K55" s="40">
        <f t="shared" si="12"/>
        <v>296210.49258347356</v>
      </c>
      <c r="L55" s="40">
        <f t="shared" si="13"/>
        <v>299172.59750930831</v>
      </c>
    </row>
    <row r="56" spans="1:12" x14ac:dyDescent="0.25">
      <c r="B56" s="34">
        <v>8</v>
      </c>
      <c r="C56" s="37">
        <f t="shared" si="14"/>
        <v>0.03</v>
      </c>
      <c r="D56" s="42">
        <f t="shared" si="5"/>
        <v>0.81309151134335378</v>
      </c>
      <c r="E56" s="39">
        <f t="shared" si="6"/>
        <v>0.78940923431393561</v>
      </c>
      <c r="F56" s="40">
        <f t="shared" si="7"/>
        <v>294286.72522874363</v>
      </c>
      <c r="G56" s="40">
        <f t="shared" si="8"/>
        <v>239282.03818452545</v>
      </c>
      <c r="H56" s="41">
        <f t="shared" si="9"/>
        <v>3825.7274279736671</v>
      </c>
      <c r="I56" s="40">
        <f t="shared" si="10"/>
        <v>3020.0645596105146</v>
      </c>
      <c r="J56" s="41">
        <f t="shared" si="11"/>
        <v>382572.74279736675</v>
      </c>
      <c r="K56" s="40">
        <f t="shared" si="12"/>
        <v>302006.45596105151</v>
      </c>
      <c r="L56" s="40">
        <f t="shared" si="13"/>
        <v>305026.52052066202</v>
      </c>
    </row>
    <row r="57" spans="1:12" x14ac:dyDescent="0.25">
      <c r="B57" s="34">
        <v>9</v>
      </c>
      <c r="C57" s="37">
        <f t="shared" si="14"/>
        <v>0.03</v>
      </c>
      <c r="D57" s="42">
        <f t="shared" si="5"/>
        <v>0.78940923431393561</v>
      </c>
      <c r="E57" s="39">
        <f t="shared" si="6"/>
        <v>0.76641673234362684</v>
      </c>
      <c r="F57" s="40">
        <f t="shared" si="7"/>
        <v>293139.00700035156</v>
      </c>
      <c r="G57" s="40">
        <f t="shared" si="8"/>
        <v>231406.63906369492</v>
      </c>
      <c r="H57" s="41">
        <f t="shared" si="9"/>
        <v>4006.2330956714713</v>
      </c>
      <c r="I57" s="40">
        <f t="shared" si="10"/>
        <v>3070.4440781914218</v>
      </c>
      <c r="J57" s="41">
        <f t="shared" si="11"/>
        <v>400623.30956714717</v>
      </c>
      <c r="K57" s="40">
        <f t="shared" si="12"/>
        <v>307044.40781914222</v>
      </c>
      <c r="L57" s="40">
        <f t="shared" si="13"/>
        <v>310114.85189733363</v>
      </c>
    </row>
    <row r="58" spans="1:12" x14ac:dyDescent="0.25">
      <c r="A58" s="22"/>
      <c r="B58" s="35">
        <v>10</v>
      </c>
      <c r="C58" s="43">
        <f t="shared" si="14"/>
        <v>0.03</v>
      </c>
      <c r="D58" s="44">
        <f t="shared" si="5"/>
        <v>0.76641673234362684</v>
      </c>
      <c r="E58" s="45">
        <f t="shared" si="6"/>
        <v>0.74409391489672505</v>
      </c>
      <c r="F58" s="46">
        <f t="shared" si="7"/>
        <v>291937.13707165007</v>
      </c>
      <c r="G58" s="46">
        <f t="shared" si="8"/>
        <v>223745.50664420752</v>
      </c>
      <c r="H58" s="47">
        <f t="shared" si="9"/>
        <v>4379.0570560747519</v>
      </c>
      <c r="I58" s="46">
        <f t="shared" si="10"/>
        <v>3258.4297084107898</v>
      </c>
      <c r="J58" s="47">
        <f t="shared" si="11"/>
        <v>437905.70560747519</v>
      </c>
      <c r="K58" s="46">
        <f t="shared" si="12"/>
        <v>325842.97084107896</v>
      </c>
      <c r="L58" s="46">
        <f t="shared" si="13"/>
        <v>329101.40054948977</v>
      </c>
    </row>
    <row r="59" spans="1:12" x14ac:dyDescent="0.25">
      <c r="A59" s="22"/>
      <c r="B59" s="36" t="s">
        <v>54</v>
      </c>
      <c r="C59" s="37"/>
      <c r="D59" s="42"/>
      <c r="E59" s="39"/>
      <c r="F59" s="40">
        <f t="shared" ref="F59:L59" si="15">SUM(F49:F58)</f>
        <v>2964903.7775067431</v>
      </c>
      <c r="G59" s="40">
        <f t="shared" si="15"/>
        <v>2606919.3563815625</v>
      </c>
      <c r="H59" s="40">
        <f t="shared" si="15"/>
        <v>31255.266817241125</v>
      </c>
      <c r="I59" s="40">
        <f t="shared" si="15"/>
        <v>26063.972311470912</v>
      </c>
      <c r="J59" s="40">
        <f t="shared" si="15"/>
        <v>3125526.6817241129</v>
      </c>
      <c r="K59" s="40">
        <f t="shared" si="15"/>
        <v>2606397.2311470914</v>
      </c>
      <c r="L59" s="40">
        <f t="shared" si="15"/>
        <v>2632461.2034585625</v>
      </c>
    </row>
    <row r="60" spans="1:12" ht="15.75" thickBot="1" x14ac:dyDescent="0.3">
      <c r="A60" s="22"/>
      <c r="B60" s="21"/>
    </row>
    <row r="61" spans="1:12" ht="15.75" thickBot="1" x14ac:dyDescent="0.3">
      <c r="A61" s="22" t="s">
        <v>28</v>
      </c>
      <c r="B61" s="32">
        <f>MIN(L59/G59, 1)</f>
        <v>1</v>
      </c>
      <c r="C61" s="2" t="s">
        <v>53</v>
      </c>
    </row>
    <row r="63" spans="1:12" ht="15.75" x14ac:dyDescent="0.25">
      <c r="A63" s="23" t="s">
        <v>33</v>
      </c>
      <c r="B63" s="24"/>
      <c r="C63" s="24"/>
      <c r="D63" s="24"/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0"/>
  <sheetViews>
    <sheetView topLeftCell="A31" zoomScale="70" zoomScaleNormal="70" workbookViewId="0">
      <selection activeCell="H42" sqref="H42"/>
    </sheetView>
  </sheetViews>
  <sheetFormatPr defaultColWidth="9.140625" defaultRowHeight="15" x14ac:dyDescent="0.25"/>
  <cols>
    <col min="1" max="1" width="39.5703125" style="2" customWidth="1"/>
    <col min="2" max="2" width="12.5703125" style="2" customWidth="1"/>
    <col min="3" max="3" width="13.42578125" style="2" customWidth="1"/>
    <col min="4" max="4" width="17.42578125" style="2" customWidth="1"/>
    <col min="5" max="5" width="17.7109375" style="2" customWidth="1"/>
    <col min="6" max="6" width="12.5703125" style="2" customWidth="1"/>
    <col min="7" max="7" width="15.140625" style="2" customWidth="1"/>
    <col min="8" max="8" width="15.5703125" style="2" bestFit="1" customWidth="1"/>
    <col min="9" max="9" width="19" style="2" customWidth="1"/>
    <col min="10" max="10" width="14.5703125" style="2" bestFit="1" customWidth="1"/>
    <col min="11" max="11" width="16.42578125" style="2" bestFit="1" customWidth="1"/>
    <col min="12" max="12" width="22.5703125" style="2" bestFit="1" customWidth="1"/>
    <col min="13" max="16384" width="9.140625" style="2"/>
  </cols>
  <sheetData>
    <row r="1" spans="1:13" ht="18.75" x14ac:dyDescent="0.25">
      <c r="A1" s="4" t="s">
        <v>3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</row>
    <row r="2" spans="1:13" ht="18.75" x14ac:dyDescent="0.25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</row>
    <row r="3" spans="1:13" ht="18.75" x14ac:dyDescent="0.25">
      <c r="A3" s="4" t="s">
        <v>8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</row>
    <row r="4" spans="1:13" ht="18.75" x14ac:dyDescent="0.25">
      <c r="A4" s="4" t="s">
        <v>9</v>
      </c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</row>
    <row r="5" spans="1:13" ht="18.75" x14ac:dyDescent="0.25">
      <c r="A5" s="4" t="s">
        <v>10</v>
      </c>
      <c r="B5" s="7"/>
      <c r="C5" s="7"/>
      <c r="D5" s="7"/>
      <c r="E5" s="7"/>
      <c r="F5" s="7"/>
      <c r="G5" s="6"/>
      <c r="H5" s="6"/>
      <c r="I5" s="6"/>
      <c r="J5" s="6"/>
      <c r="K5" s="6"/>
      <c r="L5" s="6"/>
      <c r="M5" s="6"/>
    </row>
    <row r="6" spans="1:13" s="3" customFormat="1" ht="18.75" x14ac:dyDescent="0.25">
      <c r="A6" s="4" t="s">
        <v>11</v>
      </c>
      <c r="B6" s="7"/>
      <c r="C6" s="7"/>
      <c r="D6" s="7"/>
      <c r="E6" s="7"/>
      <c r="F6" s="7"/>
      <c r="G6" s="6"/>
      <c r="H6" s="6"/>
      <c r="I6" s="6"/>
      <c r="J6" s="6"/>
      <c r="K6" s="6"/>
      <c r="L6" s="6"/>
      <c r="M6" s="6"/>
    </row>
    <row r="7" spans="1:13" s="3" customFormat="1" ht="18.75" x14ac:dyDescent="0.25">
      <c r="A7" s="4" t="s">
        <v>12</v>
      </c>
      <c r="B7" s="7"/>
      <c r="C7" s="7"/>
      <c r="D7" s="7"/>
      <c r="E7" s="7"/>
      <c r="F7" s="7"/>
      <c r="G7" s="6"/>
      <c r="H7" s="6"/>
      <c r="I7" s="6"/>
      <c r="J7" s="6"/>
      <c r="K7" s="6"/>
      <c r="L7" s="6"/>
      <c r="M7" s="6"/>
    </row>
    <row r="8" spans="1:13" s="1" customFormat="1" ht="18.75" x14ac:dyDescent="0.25">
      <c r="A8" s="4" t="s">
        <v>13</v>
      </c>
      <c r="B8" s="7"/>
      <c r="C8" s="7"/>
      <c r="D8" s="7"/>
      <c r="E8" s="7"/>
      <c r="F8" s="7"/>
      <c r="G8" s="6"/>
      <c r="H8" s="6"/>
      <c r="I8" s="6"/>
      <c r="J8" s="6"/>
      <c r="K8" s="6"/>
      <c r="L8" s="6"/>
      <c r="M8" s="6"/>
    </row>
    <row r="9" spans="1:13" s="1" customFormat="1" ht="18.75" x14ac:dyDescent="0.25">
      <c r="A9" s="4" t="s">
        <v>14</v>
      </c>
      <c r="B9" s="7"/>
      <c r="C9" s="7"/>
      <c r="D9" s="7"/>
      <c r="E9" s="7"/>
      <c r="F9" s="7"/>
      <c r="G9" s="6"/>
      <c r="H9" s="6"/>
      <c r="I9" s="6"/>
      <c r="J9" s="6"/>
      <c r="K9" s="6"/>
      <c r="L9" s="6"/>
      <c r="M9" s="6"/>
    </row>
    <row r="10" spans="1:13" s="1" customFormat="1" ht="18.75" x14ac:dyDescent="0.25">
      <c r="A10" s="4" t="s">
        <v>15</v>
      </c>
      <c r="B10" s="7"/>
      <c r="C10" s="7"/>
      <c r="D10" s="7"/>
      <c r="E10" s="7"/>
      <c r="F10" s="7"/>
      <c r="G10" s="6"/>
      <c r="H10" s="6"/>
      <c r="I10" s="6"/>
      <c r="J10" s="6"/>
      <c r="K10" s="6"/>
      <c r="L10" s="6"/>
      <c r="M10" s="6"/>
    </row>
    <row r="11" spans="1:13" s="1" customFormat="1" ht="15.75" customHeight="1" x14ac:dyDescent="0.25">
      <c r="A11" s="4" t="s">
        <v>56</v>
      </c>
      <c r="B11" s="20">
        <v>1000</v>
      </c>
      <c r="C11" s="7"/>
      <c r="D11" s="7"/>
      <c r="E11" s="7"/>
      <c r="F11" s="7"/>
      <c r="G11" s="6"/>
      <c r="H11" s="6"/>
      <c r="I11" s="6"/>
      <c r="J11" s="6"/>
      <c r="K11" s="6"/>
      <c r="L11" s="6"/>
      <c r="M11" s="6"/>
    </row>
    <row r="12" spans="1:13" s="3" customFormat="1" ht="18.75" x14ac:dyDescent="0.25">
      <c r="A12" s="4" t="s">
        <v>57</v>
      </c>
      <c r="B12" s="20">
        <v>100</v>
      </c>
      <c r="C12" s="7"/>
      <c r="D12" s="7"/>
      <c r="E12" s="7"/>
      <c r="F12" s="7"/>
      <c r="G12" s="6"/>
      <c r="H12" s="6"/>
      <c r="I12" s="6"/>
      <c r="J12" s="6"/>
      <c r="K12" s="6"/>
      <c r="L12" s="6"/>
      <c r="M12" s="6"/>
    </row>
    <row r="13" spans="1:13" s="3" customFormat="1" ht="19.5" thickBot="1" x14ac:dyDescent="0.3">
      <c r="A13" s="4"/>
      <c r="B13" s="7"/>
      <c r="C13" s="7"/>
      <c r="D13" s="7"/>
      <c r="E13" s="7"/>
      <c r="F13" s="7"/>
      <c r="G13" s="6"/>
      <c r="H13" s="6"/>
      <c r="I13" s="6"/>
      <c r="J13" s="6"/>
      <c r="K13" s="6"/>
      <c r="L13" s="6"/>
      <c r="M13" s="6"/>
    </row>
    <row r="14" spans="1:13" s="3" customFormat="1" ht="16.5" thickBot="1" x14ac:dyDescent="0.3">
      <c r="A14" s="8" t="s">
        <v>16</v>
      </c>
      <c r="B14" s="9">
        <v>1</v>
      </c>
      <c r="C14" s="10" t="s">
        <v>17</v>
      </c>
      <c r="D14" s="7"/>
      <c r="E14" s="7"/>
      <c r="F14" s="8" t="s">
        <v>16</v>
      </c>
      <c r="G14" s="11" t="s">
        <v>18</v>
      </c>
      <c r="H14" s="6"/>
      <c r="I14" s="6"/>
      <c r="J14" s="6"/>
      <c r="K14" s="6"/>
      <c r="L14" s="6"/>
      <c r="M14" s="6"/>
    </row>
    <row r="15" spans="1:13" s="3" customFormat="1" ht="16.5" thickBot="1" x14ac:dyDescent="0.3">
      <c r="A15" s="12" t="s">
        <v>19</v>
      </c>
      <c r="B15" s="13">
        <v>3</v>
      </c>
      <c r="C15" s="13">
        <v>3</v>
      </c>
      <c r="D15" s="7"/>
      <c r="E15" s="7"/>
      <c r="F15" s="14">
        <v>1</v>
      </c>
      <c r="G15" s="15">
        <v>1.6999999999999999E-3</v>
      </c>
      <c r="H15" s="6"/>
      <c r="I15" s="6"/>
      <c r="J15" s="6"/>
      <c r="K15" s="6"/>
      <c r="L15" s="6"/>
      <c r="M15" s="6"/>
    </row>
    <row r="16" spans="1:13" s="3" customFormat="1" ht="16.5" thickBot="1" x14ac:dyDescent="0.3">
      <c r="A16" s="12" t="s">
        <v>20</v>
      </c>
      <c r="B16" s="16">
        <v>0.03</v>
      </c>
      <c r="C16" s="16">
        <v>0.03</v>
      </c>
      <c r="D16" s="7"/>
      <c r="E16" s="7"/>
      <c r="F16" s="14">
        <v>2</v>
      </c>
      <c r="G16" s="15">
        <v>2.0999999999999999E-3</v>
      </c>
      <c r="H16" s="6"/>
      <c r="I16" s="6"/>
      <c r="J16" s="6"/>
      <c r="K16" s="6"/>
      <c r="L16" s="6"/>
      <c r="M16" s="6"/>
    </row>
    <row r="17" spans="1:13" s="3" customFormat="1" ht="16.5" thickBot="1" x14ac:dyDescent="0.3">
      <c r="A17" s="12" t="s">
        <v>21</v>
      </c>
      <c r="B17" s="17">
        <v>0.8</v>
      </c>
      <c r="C17" s="17">
        <v>0.02</v>
      </c>
      <c r="D17" s="7"/>
      <c r="E17" s="7"/>
      <c r="F17" s="14">
        <v>3</v>
      </c>
      <c r="G17" s="15">
        <v>2.5000000000000001E-3</v>
      </c>
      <c r="H17" s="6"/>
      <c r="I17" s="6"/>
      <c r="J17" s="6"/>
      <c r="K17" s="6"/>
      <c r="L17" s="6"/>
      <c r="M17" s="6"/>
    </row>
    <row r="18" spans="1:13" s="3" customFormat="1" ht="16.5" thickBot="1" x14ac:dyDescent="0.3">
      <c r="A18" s="12" t="s">
        <v>22</v>
      </c>
      <c r="B18" s="13">
        <v>100</v>
      </c>
      <c r="C18" s="13">
        <v>0</v>
      </c>
      <c r="D18" s="7"/>
      <c r="E18" s="7"/>
      <c r="F18" s="14">
        <v>4</v>
      </c>
      <c r="G18" s="15">
        <v>2.8E-3</v>
      </c>
      <c r="H18" s="18"/>
      <c r="I18" s="6"/>
      <c r="J18" s="6"/>
      <c r="K18" s="6"/>
      <c r="L18" s="6"/>
      <c r="M18" s="6"/>
    </row>
    <row r="19" spans="1:13" s="3" customFormat="1" ht="16.5" thickBot="1" x14ac:dyDescent="0.3">
      <c r="A19" s="12" t="s">
        <v>23</v>
      </c>
      <c r="B19" s="13">
        <v>50</v>
      </c>
      <c r="C19" s="13">
        <v>0</v>
      </c>
      <c r="D19" s="7"/>
      <c r="E19" s="7"/>
      <c r="F19" s="14">
        <v>5</v>
      </c>
      <c r="G19" s="15">
        <v>2.8999999999999998E-3</v>
      </c>
      <c r="H19" s="6"/>
      <c r="I19" s="6"/>
      <c r="J19" s="6"/>
      <c r="K19" s="6"/>
      <c r="L19" s="6"/>
      <c r="M19" s="6"/>
    </row>
    <row r="20" spans="1:13" s="3" customFormat="1" ht="16.5" thickBot="1" x14ac:dyDescent="0.3">
      <c r="A20" s="12" t="s">
        <v>24</v>
      </c>
      <c r="B20" s="13">
        <v>35</v>
      </c>
      <c r="C20" s="13">
        <v>35</v>
      </c>
      <c r="D20" s="7"/>
      <c r="E20" s="7"/>
      <c r="F20" s="14">
        <v>6</v>
      </c>
      <c r="G20" s="15">
        <v>3.5000000000000001E-3</v>
      </c>
      <c r="H20" s="6"/>
      <c r="I20" s="6"/>
      <c r="J20" s="6"/>
      <c r="K20" s="6"/>
      <c r="L20" s="6"/>
      <c r="M20" s="6"/>
    </row>
    <row r="21" spans="1:13" s="3" customFormat="1" ht="16.5" thickBot="1" x14ac:dyDescent="0.3">
      <c r="A21" s="12" t="s">
        <v>25</v>
      </c>
      <c r="B21" s="19">
        <v>1000</v>
      </c>
      <c r="C21" s="19">
        <v>1000</v>
      </c>
      <c r="D21" s="7"/>
      <c r="E21" s="7"/>
      <c r="F21" s="14">
        <v>7</v>
      </c>
      <c r="G21" s="15">
        <v>3.7000000000000002E-3</v>
      </c>
      <c r="H21" s="6"/>
      <c r="I21" s="6"/>
      <c r="J21" s="6"/>
      <c r="K21" s="6"/>
      <c r="L21" s="6"/>
      <c r="M21" s="6"/>
    </row>
    <row r="22" spans="1:13" s="3" customFormat="1" ht="16.5" thickBot="1" x14ac:dyDescent="0.3">
      <c r="A22" s="12" t="s">
        <v>4</v>
      </c>
      <c r="B22" s="16">
        <v>2.2499999999999999E-2</v>
      </c>
      <c r="C22" s="16">
        <v>2.2499999999999999E-2</v>
      </c>
      <c r="D22" s="7"/>
      <c r="E22" s="7"/>
      <c r="F22" s="14">
        <v>8</v>
      </c>
      <c r="G22" s="15">
        <v>3.8999999999999998E-3</v>
      </c>
      <c r="H22" s="6"/>
      <c r="I22" s="6"/>
      <c r="J22" s="6"/>
      <c r="K22" s="6"/>
      <c r="L22" s="6"/>
      <c r="M22" s="6"/>
    </row>
    <row r="23" spans="1:13" s="3" customFormat="1" ht="16.5" thickBot="1" x14ac:dyDescent="0.3">
      <c r="A23" s="20"/>
      <c r="B23" s="7"/>
      <c r="C23" s="7"/>
      <c r="D23" s="7"/>
      <c r="E23" s="7"/>
      <c r="F23" s="14">
        <v>9</v>
      </c>
      <c r="G23" s="15">
        <v>4.1000000000000003E-3</v>
      </c>
      <c r="H23" s="6"/>
      <c r="I23" s="6"/>
      <c r="J23" s="6"/>
      <c r="K23" s="6"/>
      <c r="L23" s="6"/>
      <c r="M23" s="6"/>
    </row>
    <row r="24" spans="1:13" ht="16.5" thickBot="1" x14ac:dyDescent="0.3">
      <c r="A24" s="6"/>
      <c r="B24" s="6"/>
      <c r="C24" s="6"/>
      <c r="D24" s="6"/>
      <c r="E24" s="6"/>
      <c r="F24" s="14">
        <v>10</v>
      </c>
      <c r="G24" s="15">
        <v>4.4999999999999997E-3</v>
      </c>
      <c r="H24" s="6"/>
      <c r="I24" s="6"/>
      <c r="J24" s="6"/>
      <c r="K24" s="6"/>
      <c r="L24" s="6"/>
      <c r="M24" s="6"/>
    </row>
    <row r="25" spans="1:13" ht="15.7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.75" x14ac:dyDescent="0.25">
      <c r="A26" s="6" t="s">
        <v>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5.7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9" spans="1:13" ht="15.75" x14ac:dyDescent="0.25">
      <c r="A29" s="1" t="s">
        <v>0</v>
      </c>
    </row>
    <row r="30" spans="1:13" x14ac:dyDescent="0.25">
      <c r="B30" s="21"/>
    </row>
    <row r="31" spans="1:13" x14ac:dyDescent="0.25">
      <c r="A31" s="2" t="s">
        <v>2</v>
      </c>
      <c r="B31" s="21" t="s">
        <v>27</v>
      </c>
    </row>
    <row r="32" spans="1:13" x14ac:dyDescent="0.25">
      <c r="B32" s="21"/>
    </row>
    <row r="33" spans="1:12" x14ac:dyDescent="0.25">
      <c r="A33" s="22" t="s">
        <v>55</v>
      </c>
      <c r="B33" s="21"/>
    </row>
    <row r="34" spans="1:12" x14ac:dyDescent="0.25">
      <c r="B34" s="27" t="s">
        <v>16</v>
      </c>
      <c r="C34" s="28" t="s">
        <v>39</v>
      </c>
      <c r="D34" s="28" t="s">
        <v>35</v>
      </c>
      <c r="E34" s="28" t="s">
        <v>36</v>
      </c>
      <c r="F34" s="28" t="s">
        <v>37</v>
      </c>
      <c r="G34" s="28" t="s">
        <v>38</v>
      </c>
    </row>
    <row r="35" spans="1:12" x14ac:dyDescent="0.25">
      <c r="B35" s="34">
        <v>0</v>
      </c>
      <c r="D35" s="39"/>
      <c r="E35" s="39">
        <f t="shared" ref="E35:E45" si="0">$B$11*C36</f>
        <v>1000</v>
      </c>
      <c r="F35" s="39"/>
      <c r="G35" s="41">
        <f>E35*$B$12</f>
        <v>100000</v>
      </c>
    </row>
    <row r="36" spans="1:12" x14ac:dyDescent="0.25">
      <c r="B36" s="34">
        <v>1</v>
      </c>
      <c r="C36" s="39">
        <v>1</v>
      </c>
      <c r="D36" s="49">
        <f t="shared" ref="D36:D45" si="1">C36*G15*$B$11</f>
        <v>1.7</v>
      </c>
      <c r="E36" s="39">
        <f t="shared" si="0"/>
        <v>998.3</v>
      </c>
      <c r="F36" s="50">
        <f>D36*$B$12</f>
        <v>170</v>
      </c>
      <c r="G36" s="41">
        <f>G35-F36</f>
        <v>99830</v>
      </c>
    </row>
    <row r="37" spans="1:12" x14ac:dyDescent="0.25">
      <c r="B37" s="34">
        <v>2</v>
      </c>
      <c r="C37" s="48">
        <f t="shared" ref="C37:C45" si="2">C36*(1-G15)</f>
        <v>0.99829999999999997</v>
      </c>
      <c r="D37" s="49">
        <f t="shared" si="1"/>
        <v>2.0964299999999998</v>
      </c>
      <c r="E37" s="39">
        <f t="shared" si="0"/>
        <v>996.2035699999999</v>
      </c>
      <c r="F37" s="50">
        <f t="shared" ref="F37:F45" si="3">D37*$B$12</f>
        <v>209.64299999999997</v>
      </c>
      <c r="G37" s="41">
        <f t="shared" ref="G37:G44" si="4">G36-F37</f>
        <v>99620.357000000004</v>
      </c>
    </row>
    <row r="38" spans="1:12" x14ac:dyDescent="0.25">
      <c r="B38" s="34">
        <v>3</v>
      </c>
      <c r="C38" s="48">
        <f t="shared" si="2"/>
        <v>0.99620356999999993</v>
      </c>
      <c r="D38" s="49">
        <f t="shared" si="1"/>
        <v>2.4905089249999999</v>
      </c>
      <c r="E38" s="39">
        <f t="shared" si="0"/>
        <v>993.71306107500004</v>
      </c>
      <c r="F38" s="50">
        <f t="shared" si="3"/>
        <v>249.05089249999997</v>
      </c>
      <c r="G38" s="41">
        <f t="shared" si="4"/>
        <v>99371.306107500001</v>
      </c>
    </row>
    <row r="39" spans="1:12" x14ac:dyDescent="0.25">
      <c r="B39" s="34">
        <v>4</v>
      </c>
      <c r="C39" s="48">
        <f t="shared" si="2"/>
        <v>0.99371306107500001</v>
      </c>
      <c r="D39" s="49">
        <f t="shared" si="1"/>
        <v>2.78239657101</v>
      </c>
      <c r="E39" s="39">
        <f t="shared" si="0"/>
        <v>990.93066450398999</v>
      </c>
      <c r="F39" s="50">
        <f t="shared" si="3"/>
        <v>278.23965710099998</v>
      </c>
      <c r="G39" s="41">
        <f t="shared" si="4"/>
        <v>99093.066450398997</v>
      </c>
    </row>
    <row r="40" spans="1:12" x14ac:dyDescent="0.25">
      <c r="B40" s="34">
        <v>5</v>
      </c>
      <c r="C40" s="48">
        <f t="shared" si="2"/>
        <v>0.99093066450399003</v>
      </c>
      <c r="D40" s="49">
        <f t="shared" si="1"/>
        <v>2.8736989270615707</v>
      </c>
      <c r="E40" s="39">
        <f t="shared" si="0"/>
        <v>988.05696557692841</v>
      </c>
      <c r="F40" s="50">
        <f t="shared" si="3"/>
        <v>287.36989270615709</v>
      </c>
      <c r="G40" s="41">
        <f t="shared" si="4"/>
        <v>98805.696557692834</v>
      </c>
    </row>
    <row r="41" spans="1:12" x14ac:dyDescent="0.25">
      <c r="B41" s="34">
        <v>6</v>
      </c>
      <c r="C41" s="48">
        <f t="shared" si="2"/>
        <v>0.98805696557692846</v>
      </c>
      <c r="D41" s="49">
        <f t="shared" si="1"/>
        <v>3.4581993795192498</v>
      </c>
      <c r="E41" s="39">
        <f t="shared" si="0"/>
        <v>984.5987661974093</v>
      </c>
      <c r="F41" s="50">
        <f t="shared" si="3"/>
        <v>345.819937951925</v>
      </c>
      <c r="G41" s="41">
        <f t="shared" si="4"/>
        <v>98459.876619740913</v>
      </c>
    </row>
    <row r="42" spans="1:12" x14ac:dyDescent="0.25">
      <c r="B42" s="34">
        <v>7</v>
      </c>
      <c r="C42" s="48">
        <f t="shared" si="2"/>
        <v>0.98459876619740927</v>
      </c>
      <c r="D42" s="49">
        <f t="shared" si="1"/>
        <v>3.6430154349304145</v>
      </c>
      <c r="E42" s="39">
        <f t="shared" si="0"/>
        <v>980.95575076247883</v>
      </c>
      <c r="F42" s="50">
        <f t="shared" si="3"/>
        <v>364.30154349304144</v>
      </c>
      <c r="G42" s="41">
        <f t="shared" si="4"/>
        <v>98095.575076247871</v>
      </c>
    </row>
    <row r="43" spans="1:12" x14ac:dyDescent="0.25">
      <c r="B43" s="34">
        <v>8</v>
      </c>
      <c r="C43" s="48">
        <f t="shared" si="2"/>
        <v>0.98095575076247887</v>
      </c>
      <c r="D43" s="49">
        <f t="shared" si="1"/>
        <v>3.8257274279736673</v>
      </c>
      <c r="E43" s="39">
        <f t="shared" si="0"/>
        <v>977.13002333450515</v>
      </c>
      <c r="F43" s="50">
        <f t="shared" si="3"/>
        <v>382.57274279736674</v>
      </c>
      <c r="G43" s="41">
        <f t="shared" si="4"/>
        <v>97713.002333450509</v>
      </c>
    </row>
    <row r="44" spans="1:12" x14ac:dyDescent="0.25">
      <c r="B44" s="34">
        <v>9</v>
      </c>
      <c r="C44" s="48">
        <f t="shared" si="2"/>
        <v>0.97713002333450516</v>
      </c>
      <c r="D44" s="49">
        <f t="shared" si="1"/>
        <v>4.0062330956714716</v>
      </c>
      <c r="E44" s="39">
        <f t="shared" si="0"/>
        <v>973.12379023883364</v>
      </c>
      <c r="F44" s="50">
        <f t="shared" si="3"/>
        <v>400.62330956714715</v>
      </c>
      <c r="G44" s="41">
        <f t="shared" si="4"/>
        <v>97312.379023883361</v>
      </c>
    </row>
    <row r="45" spans="1:12" x14ac:dyDescent="0.25">
      <c r="B45" s="34">
        <v>10</v>
      </c>
      <c r="C45" s="48">
        <f t="shared" si="2"/>
        <v>0.97312379023883366</v>
      </c>
      <c r="D45" s="49">
        <f t="shared" si="1"/>
        <v>4.3790570560747515</v>
      </c>
      <c r="E45" s="39">
        <f t="shared" si="0"/>
        <v>0</v>
      </c>
      <c r="F45" s="50">
        <f t="shared" si="3"/>
        <v>437.90570560747517</v>
      </c>
      <c r="G45" s="41">
        <v>0</v>
      </c>
    </row>
    <row r="46" spans="1:12" x14ac:dyDescent="0.25">
      <c r="B46" s="21"/>
    </row>
    <row r="47" spans="1:12" x14ac:dyDescent="0.25">
      <c r="A47" s="22" t="s">
        <v>58</v>
      </c>
      <c r="B47" s="21"/>
    </row>
    <row r="48" spans="1:12" x14ac:dyDescent="0.25">
      <c r="B48" s="31" t="s">
        <v>16</v>
      </c>
      <c r="C48" s="30" t="s">
        <v>43</v>
      </c>
      <c r="D48" s="30" t="s">
        <v>44</v>
      </c>
      <c r="E48" s="30" t="s">
        <v>45</v>
      </c>
      <c r="F48" s="30" t="s">
        <v>46</v>
      </c>
      <c r="G48" s="30" t="s">
        <v>47</v>
      </c>
      <c r="H48" s="30" t="s">
        <v>48</v>
      </c>
      <c r="I48" s="30" t="s">
        <v>49</v>
      </c>
      <c r="J48" s="30" t="s">
        <v>50</v>
      </c>
      <c r="K48" s="30" t="s">
        <v>51</v>
      </c>
      <c r="L48" s="30" t="s">
        <v>52</v>
      </c>
    </row>
    <row r="49" spans="1:12" x14ac:dyDescent="0.25">
      <c r="B49" s="34">
        <v>1</v>
      </c>
      <c r="C49" s="37">
        <f>B16</f>
        <v>0.03</v>
      </c>
      <c r="D49" s="38">
        <f>(1/(1+C49))^(B49-1)</f>
        <v>1</v>
      </c>
      <c r="E49" s="39">
        <f>(1/(1+C49))^(B49)</f>
        <v>0.970873786407767</v>
      </c>
      <c r="F49" s="40">
        <f>B15*G35</f>
        <v>300000</v>
      </c>
      <c r="G49" s="40">
        <f>F49*D49</f>
        <v>300000</v>
      </c>
      <c r="H49" s="41">
        <f>B21*D36</f>
        <v>1700</v>
      </c>
      <c r="I49" s="40">
        <f>H49*E49</f>
        <v>1650.485436893204</v>
      </c>
      <c r="J49" s="41">
        <f>F36*1000</f>
        <v>170000</v>
      </c>
      <c r="K49" s="40">
        <f>J49*E49</f>
        <v>165048.54368932039</v>
      </c>
      <c r="L49" s="40">
        <f>I49+K49</f>
        <v>166699.0291262136</v>
      </c>
    </row>
    <row r="50" spans="1:12" x14ac:dyDescent="0.25">
      <c r="B50" s="34">
        <v>2</v>
      </c>
      <c r="C50" s="37">
        <f>$C$16</f>
        <v>0.03</v>
      </c>
      <c r="D50" s="42">
        <f t="shared" ref="D50:D58" si="5">(1/(1+C50))^(B50-1)</f>
        <v>0.970873786407767</v>
      </c>
      <c r="E50" s="39">
        <f t="shared" ref="E50:E58" si="6">(1/(1+C50))^(B50)</f>
        <v>0.94259590913375435</v>
      </c>
      <c r="F50" s="40">
        <f>$C$15*G36</f>
        <v>299490</v>
      </c>
      <c r="G50" s="40">
        <f t="shared" ref="G50:G58" si="7">F50*D50</f>
        <v>290766.99029126216</v>
      </c>
      <c r="H50" s="41">
        <f>$C$21*D37</f>
        <v>2096.4299999999998</v>
      </c>
      <c r="I50" s="40">
        <f t="shared" ref="I50:I58" si="8">H50*E50</f>
        <v>1976.0863417852765</v>
      </c>
      <c r="J50" s="41">
        <f>F37*1000</f>
        <v>209642.99999999997</v>
      </c>
      <c r="K50" s="40">
        <f t="shared" ref="K50:K58" si="9">J50*E50</f>
        <v>197608.63417852763</v>
      </c>
      <c r="L50" s="40">
        <f t="shared" ref="L50:L58" si="10">I50+K50</f>
        <v>199584.7205203129</v>
      </c>
    </row>
    <row r="51" spans="1:12" x14ac:dyDescent="0.25">
      <c r="B51" s="34">
        <v>3</v>
      </c>
      <c r="C51" s="37">
        <f t="shared" ref="C51:C58" si="11">$C$16</f>
        <v>0.03</v>
      </c>
      <c r="D51" s="42">
        <f t="shared" si="5"/>
        <v>0.94259590913375435</v>
      </c>
      <c r="E51" s="39">
        <f t="shared" si="6"/>
        <v>0.91514165935315961</v>
      </c>
      <c r="F51" s="40">
        <f t="shared" ref="F51:F58" si="12">$C$15*G37</f>
        <v>298861.071</v>
      </c>
      <c r="G51" s="40">
        <f t="shared" si="7"/>
        <v>281705.22292393248</v>
      </c>
      <c r="H51" s="41">
        <f t="shared" ref="H51:H58" si="13">$C$21*D38</f>
        <v>2490.5089250000001</v>
      </c>
      <c r="I51" s="40">
        <f t="shared" si="8"/>
        <v>2279.1684702583539</v>
      </c>
      <c r="J51" s="41">
        <f t="shared" ref="J51:J58" si="14">F38*1000</f>
        <v>249050.89249999999</v>
      </c>
      <c r="K51" s="40">
        <f t="shared" si="9"/>
        <v>227916.84702583536</v>
      </c>
      <c r="L51" s="40">
        <f t="shared" si="10"/>
        <v>230196.01549609372</v>
      </c>
    </row>
    <row r="52" spans="1:12" x14ac:dyDescent="0.25">
      <c r="B52" s="34">
        <v>4</v>
      </c>
      <c r="C52" s="37">
        <f t="shared" si="11"/>
        <v>0.03</v>
      </c>
      <c r="D52" s="42">
        <f t="shared" si="5"/>
        <v>0.91514165935315961</v>
      </c>
      <c r="E52" s="39">
        <f t="shared" si="6"/>
        <v>0.88848704791568889</v>
      </c>
      <c r="F52" s="40">
        <f t="shared" si="12"/>
        <v>298113.91832250002</v>
      </c>
      <c r="G52" s="40">
        <f t="shared" si="7"/>
        <v>272816.46588992496</v>
      </c>
      <c r="H52" s="41">
        <f t="shared" si="13"/>
        <v>2782.3965710100001</v>
      </c>
      <c r="I52" s="40">
        <f t="shared" si="8"/>
        <v>2472.1233155074106</v>
      </c>
      <c r="J52" s="41">
        <f t="shared" si="14"/>
        <v>278239.65710099996</v>
      </c>
      <c r="K52" s="40">
        <f t="shared" si="9"/>
        <v>247212.33155074099</v>
      </c>
      <c r="L52" s="40">
        <f t="shared" si="10"/>
        <v>249684.45486624839</v>
      </c>
    </row>
    <row r="53" spans="1:12" x14ac:dyDescent="0.25">
      <c r="B53" s="34">
        <v>5</v>
      </c>
      <c r="C53" s="37">
        <f t="shared" si="11"/>
        <v>0.03</v>
      </c>
      <c r="D53" s="42">
        <f t="shared" si="5"/>
        <v>0.88848704791568889</v>
      </c>
      <c r="E53" s="39">
        <f t="shared" si="6"/>
        <v>0.862608784384164</v>
      </c>
      <c r="F53" s="40">
        <f t="shared" si="12"/>
        <v>297279.19935119699</v>
      </c>
      <c r="G53" s="40">
        <f t="shared" si="7"/>
        <v>264128.71823828458</v>
      </c>
      <c r="H53" s="41">
        <f t="shared" si="13"/>
        <v>2873.6989270615709</v>
      </c>
      <c r="I53" s="40">
        <f t="shared" si="8"/>
        <v>2478.8779381586578</v>
      </c>
      <c r="J53" s="41">
        <f t="shared" si="14"/>
        <v>287369.89270615712</v>
      </c>
      <c r="K53" s="40">
        <f t="shared" si="9"/>
        <v>247887.79381586582</v>
      </c>
      <c r="L53" s="40">
        <f t="shared" si="10"/>
        <v>250366.67175402449</v>
      </c>
    </row>
    <row r="54" spans="1:12" x14ac:dyDescent="0.25">
      <c r="B54" s="34">
        <v>6</v>
      </c>
      <c r="C54" s="37">
        <f t="shared" si="11"/>
        <v>0.03</v>
      </c>
      <c r="D54" s="42">
        <f t="shared" si="5"/>
        <v>0.862608784384164</v>
      </c>
      <c r="E54" s="39">
        <f t="shared" si="6"/>
        <v>0.83748425668365434</v>
      </c>
      <c r="F54" s="40">
        <f t="shared" si="12"/>
        <v>296417.0896730785</v>
      </c>
      <c r="G54" s="40">
        <f t="shared" si="7"/>
        <v>255691.98539358599</v>
      </c>
      <c r="H54" s="41">
        <f t="shared" si="13"/>
        <v>3458.1993795192498</v>
      </c>
      <c r="I54" s="40">
        <f t="shared" si="8"/>
        <v>2896.1875368205533</v>
      </c>
      <c r="J54" s="41">
        <f t="shared" si="14"/>
        <v>345819.93795192498</v>
      </c>
      <c r="K54" s="40">
        <f t="shared" si="9"/>
        <v>289618.75368205534</v>
      </c>
      <c r="L54" s="40">
        <f t="shared" si="10"/>
        <v>292514.94121887587</v>
      </c>
    </row>
    <row r="55" spans="1:12" x14ac:dyDescent="0.25">
      <c r="B55" s="34">
        <v>7</v>
      </c>
      <c r="C55" s="37">
        <f t="shared" si="11"/>
        <v>0.03</v>
      </c>
      <c r="D55" s="42">
        <f t="shared" si="5"/>
        <v>0.83748425668365434</v>
      </c>
      <c r="E55" s="39">
        <f t="shared" si="6"/>
        <v>0.81309151134335378</v>
      </c>
      <c r="F55" s="40">
        <f t="shared" si="12"/>
        <v>295379.62985922274</v>
      </c>
      <c r="G55" s="40">
        <f t="shared" si="7"/>
        <v>247375.7897521441</v>
      </c>
      <c r="H55" s="41">
        <f t="shared" si="13"/>
        <v>3643.0154349304144</v>
      </c>
      <c r="I55" s="40">
        <f t="shared" si="8"/>
        <v>2962.1049258347357</v>
      </c>
      <c r="J55" s="41">
        <f t="shared" si="14"/>
        <v>364301.54349304142</v>
      </c>
      <c r="K55" s="40">
        <f t="shared" si="9"/>
        <v>296210.49258347356</v>
      </c>
      <c r="L55" s="40">
        <f t="shared" si="10"/>
        <v>299172.59750930831</v>
      </c>
    </row>
    <row r="56" spans="1:12" x14ac:dyDescent="0.25">
      <c r="B56" s="34">
        <v>8</v>
      </c>
      <c r="C56" s="37">
        <f t="shared" si="11"/>
        <v>0.03</v>
      </c>
      <c r="D56" s="42">
        <f t="shared" si="5"/>
        <v>0.81309151134335378</v>
      </c>
      <c r="E56" s="39">
        <f t="shared" si="6"/>
        <v>0.78940923431393561</v>
      </c>
      <c r="F56" s="40">
        <f t="shared" si="12"/>
        <v>294286.72522874363</v>
      </c>
      <c r="G56" s="40">
        <f t="shared" si="7"/>
        <v>239282.03818452545</v>
      </c>
      <c r="H56" s="41">
        <f t="shared" si="13"/>
        <v>3825.7274279736671</v>
      </c>
      <c r="I56" s="40">
        <f t="shared" si="8"/>
        <v>3020.0645596105146</v>
      </c>
      <c r="J56" s="41">
        <f t="shared" si="14"/>
        <v>382572.74279736675</v>
      </c>
      <c r="K56" s="40">
        <f t="shared" si="9"/>
        <v>302006.45596105151</v>
      </c>
      <c r="L56" s="40">
        <f t="shared" si="10"/>
        <v>305026.52052066202</v>
      </c>
    </row>
    <row r="57" spans="1:12" x14ac:dyDescent="0.25">
      <c r="B57" s="34">
        <v>9</v>
      </c>
      <c r="C57" s="37">
        <f t="shared" si="11"/>
        <v>0.03</v>
      </c>
      <c r="D57" s="42">
        <f t="shared" si="5"/>
        <v>0.78940923431393561</v>
      </c>
      <c r="E57" s="39">
        <f t="shared" si="6"/>
        <v>0.76641673234362684</v>
      </c>
      <c r="F57" s="40">
        <f t="shared" si="12"/>
        <v>293139.00700035156</v>
      </c>
      <c r="G57" s="40">
        <f t="shared" si="7"/>
        <v>231406.63906369492</v>
      </c>
      <c r="H57" s="41">
        <f t="shared" si="13"/>
        <v>4006.2330956714713</v>
      </c>
      <c r="I57" s="40">
        <f t="shared" si="8"/>
        <v>3070.4440781914218</v>
      </c>
      <c r="J57" s="41">
        <f t="shared" si="14"/>
        <v>400623.30956714717</v>
      </c>
      <c r="K57" s="40">
        <f t="shared" si="9"/>
        <v>307044.40781914222</v>
      </c>
      <c r="L57" s="40">
        <f t="shared" si="10"/>
        <v>310114.85189733363</v>
      </c>
    </row>
    <row r="58" spans="1:12" x14ac:dyDescent="0.25">
      <c r="B58" s="35">
        <v>10</v>
      </c>
      <c r="C58" s="43">
        <f t="shared" si="11"/>
        <v>0.03</v>
      </c>
      <c r="D58" s="44">
        <f t="shared" si="5"/>
        <v>0.76641673234362684</v>
      </c>
      <c r="E58" s="45">
        <f t="shared" si="6"/>
        <v>0.74409391489672505</v>
      </c>
      <c r="F58" s="46">
        <f t="shared" si="12"/>
        <v>291937.13707165007</v>
      </c>
      <c r="G58" s="46">
        <f t="shared" si="7"/>
        <v>223745.50664420752</v>
      </c>
      <c r="H58" s="47">
        <f t="shared" si="13"/>
        <v>4379.0570560747519</v>
      </c>
      <c r="I58" s="46">
        <f t="shared" si="8"/>
        <v>3258.4297084107898</v>
      </c>
      <c r="J58" s="47">
        <f t="shared" si="14"/>
        <v>437905.70560747519</v>
      </c>
      <c r="K58" s="46">
        <f t="shared" si="9"/>
        <v>325842.97084107896</v>
      </c>
      <c r="L58" s="46">
        <f t="shared" si="10"/>
        <v>329101.40054948977</v>
      </c>
    </row>
    <row r="59" spans="1:12" x14ac:dyDescent="0.25">
      <c r="B59" s="36" t="s">
        <v>54</v>
      </c>
      <c r="C59" s="37"/>
      <c r="D59" s="42"/>
      <c r="E59" s="39"/>
      <c r="F59" s="40">
        <f t="shared" ref="F59:L59" si="15">SUM(F49:F58)</f>
        <v>2964903.7775067431</v>
      </c>
      <c r="G59" s="40">
        <f t="shared" si="15"/>
        <v>2606919.3563815625</v>
      </c>
      <c r="H59" s="40">
        <f t="shared" si="15"/>
        <v>31255.266817241125</v>
      </c>
      <c r="I59" s="40">
        <f t="shared" si="15"/>
        <v>26063.972311470912</v>
      </c>
      <c r="J59" s="40">
        <f t="shared" si="15"/>
        <v>3125526.6817241129</v>
      </c>
      <c r="K59" s="40">
        <f t="shared" si="15"/>
        <v>2606397.2311470914</v>
      </c>
      <c r="L59" s="40">
        <f t="shared" si="15"/>
        <v>2632461.2034585625</v>
      </c>
    </row>
    <row r="60" spans="1:12" x14ac:dyDescent="0.25">
      <c r="A60" s="22"/>
    </row>
    <row r="61" spans="1:12" x14ac:dyDescent="0.25">
      <c r="A61" s="22" t="s">
        <v>59</v>
      </c>
    </row>
    <row r="62" spans="1:12" x14ac:dyDescent="0.25">
      <c r="B62" s="2" t="s">
        <v>28</v>
      </c>
      <c r="D62" s="51">
        <f>'Question 1 (a)'!B61</f>
        <v>1</v>
      </c>
    </row>
    <row r="64" spans="1:12" x14ac:dyDescent="0.25">
      <c r="A64" s="22" t="s">
        <v>60</v>
      </c>
    </row>
    <row r="65" spans="1:4" x14ac:dyDescent="0.25">
      <c r="B65" s="39" t="s">
        <v>61</v>
      </c>
      <c r="C65" s="26">
        <f>L59-D62*G59</f>
        <v>25541.847076999955</v>
      </c>
    </row>
    <row r="67" spans="1:4" ht="15.75" thickBot="1" x14ac:dyDescent="0.3"/>
    <row r="68" spans="1:4" ht="15.75" thickBot="1" x14ac:dyDescent="0.3">
      <c r="A68" s="22" t="s">
        <v>30</v>
      </c>
      <c r="B68" s="52">
        <f>C65</f>
        <v>25541.847076999955</v>
      </c>
    </row>
    <row r="70" spans="1:4" ht="15.75" x14ac:dyDescent="0.25">
      <c r="A70" s="23" t="s">
        <v>33</v>
      </c>
      <c r="B70" s="24"/>
      <c r="C70" s="24"/>
      <c r="D70" s="24"/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9"/>
  <sheetViews>
    <sheetView topLeftCell="A28" zoomScale="70" zoomScaleNormal="70" workbookViewId="0">
      <selection activeCell="D11" sqref="D11"/>
    </sheetView>
  </sheetViews>
  <sheetFormatPr defaultColWidth="9.140625" defaultRowHeight="15" x14ac:dyDescent="0.25"/>
  <cols>
    <col min="1" max="1" width="39.5703125" style="2" customWidth="1"/>
    <col min="2" max="2" width="11" style="2" customWidth="1"/>
    <col min="3" max="3" width="11.85546875" style="2" customWidth="1"/>
    <col min="4" max="4" width="20.5703125" style="2" customWidth="1"/>
    <col min="5" max="5" width="15.28515625" style="2" customWidth="1"/>
    <col min="6" max="6" width="14.140625" style="2" customWidth="1"/>
    <col min="7" max="7" width="17.42578125" style="2" customWidth="1"/>
    <col min="8" max="8" width="15.42578125" style="2" customWidth="1"/>
    <col min="9" max="16384" width="9.140625" style="2"/>
  </cols>
  <sheetData>
    <row r="1" spans="1:13" ht="18.75" x14ac:dyDescent="0.25">
      <c r="A1" s="4" t="s">
        <v>6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</row>
    <row r="2" spans="1:13" ht="18.75" x14ac:dyDescent="0.25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</row>
    <row r="3" spans="1:13" ht="18.75" x14ac:dyDescent="0.25">
      <c r="A3" s="4" t="s">
        <v>8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</row>
    <row r="4" spans="1:13" ht="18.75" x14ac:dyDescent="0.25">
      <c r="A4" s="4" t="s">
        <v>9</v>
      </c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</row>
    <row r="5" spans="1:13" ht="18.75" x14ac:dyDescent="0.25">
      <c r="A5" s="4" t="s">
        <v>10</v>
      </c>
      <c r="B5" s="7"/>
      <c r="C5" s="7"/>
      <c r="D5" s="7"/>
      <c r="E5" s="7"/>
      <c r="F5" s="7"/>
      <c r="G5" s="6"/>
      <c r="H5" s="6"/>
      <c r="I5" s="6"/>
      <c r="J5" s="6"/>
      <c r="K5" s="6"/>
      <c r="L5" s="6"/>
      <c r="M5" s="6"/>
    </row>
    <row r="6" spans="1:13" s="3" customFormat="1" ht="18.75" x14ac:dyDescent="0.25">
      <c r="A6" s="4" t="s">
        <v>11</v>
      </c>
      <c r="B6" s="7"/>
      <c r="C6" s="7"/>
      <c r="D6" s="7"/>
      <c r="E6" s="7"/>
      <c r="F6" s="7"/>
      <c r="G6" s="6"/>
      <c r="H6" s="6"/>
      <c r="I6" s="6"/>
      <c r="J6" s="6"/>
      <c r="K6" s="6"/>
      <c r="L6" s="6"/>
      <c r="M6" s="6"/>
    </row>
    <row r="7" spans="1:13" s="3" customFormat="1" ht="18.75" x14ac:dyDescent="0.25">
      <c r="A7" s="4" t="s">
        <v>12</v>
      </c>
      <c r="B7" s="7"/>
      <c r="C7" s="7"/>
      <c r="D7" s="7"/>
      <c r="E7" s="7"/>
      <c r="F7" s="7"/>
      <c r="G7" s="6"/>
      <c r="H7" s="6"/>
      <c r="I7" s="6"/>
      <c r="J7" s="6"/>
      <c r="K7" s="6"/>
      <c r="L7" s="6"/>
      <c r="M7" s="6"/>
    </row>
    <row r="8" spans="1:13" s="1" customFormat="1" ht="18.75" x14ac:dyDescent="0.25">
      <c r="A8" s="4" t="s">
        <v>13</v>
      </c>
      <c r="B8" s="7"/>
      <c r="C8" s="7"/>
      <c r="D8" s="7"/>
      <c r="E8" s="7"/>
      <c r="F8" s="7"/>
      <c r="G8" s="6"/>
      <c r="H8" s="6"/>
      <c r="I8" s="6"/>
      <c r="J8" s="6"/>
      <c r="K8" s="6"/>
      <c r="L8" s="6"/>
      <c r="M8" s="6"/>
    </row>
    <row r="9" spans="1:13" s="1" customFormat="1" ht="18.75" x14ac:dyDescent="0.25">
      <c r="A9" s="4" t="s">
        <v>14</v>
      </c>
      <c r="B9" s="7"/>
      <c r="C9" s="7"/>
      <c r="D9" s="7"/>
      <c r="E9" s="7"/>
      <c r="F9" s="7"/>
      <c r="G9" s="6"/>
      <c r="H9" s="6"/>
      <c r="I9" s="6"/>
      <c r="J9" s="6"/>
      <c r="K9" s="6"/>
      <c r="L9" s="6"/>
      <c r="M9" s="6"/>
    </row>
    <row r="10" spans="1:13" s="1" customFormat="1" ht="18.75" x14ac:dyDescent="0.25">
      <c r="A10" s="4" t="s">
        <v>15</v>
      </c>
      <c r="B10" s="7"/>
      <c r="C10" s="7"/>
      <c r="D10" s="7"/>
      <c r="E10" s="7"/>
      <c r="F10" s="7"/>
      <c r="G10" s="6"/>
      <c r="H10" s="6"/>
      <c r="I10" s="6"/>
      <c r="J10" s="6"/>
      <c r="K10" s="6"/>
      <c r="L10" s="6"/>
      <c r="M10" s="6"/>
    </row>
    <row r="11" spans="1:13" s="1" customFormat="1" ht="15.75" customHeight="1" x14ac:dyDescent="0.25">
      <c r="A11" s="4" t="s">
        <v>40</v>
      </c>
      <c r="B11" s="20">
        <v>1000</v>
      </c>
      <c r="C11" s="7"/>
      <c r="D11" s="7"/>
      <c r="E11" s="7"/>
      <c r="F11" s="7"/>
      <c r="G11" s="6"/>
      <c r="H11" s="6"/>
      <c r="I11" s="6"/>
      <c r="J11" s="6"/>
      <c r="K11" s="6"/>
      <c r="L11" s="6"/>
      <c r="M11" s="6"/>
    </row>
    <row r="12" spans="1:13" s="3" customFormat="1" ht="18.75" x14ac:dyDescent="0.25">
      <c r="A12" s="4" t="s">
        <v>57</v>
      </c>
      <c r="B12" s="20">
        <v>100</v>
      </c>
      <c r="C12" s="7"/>
      <c r="D12" s="7"/>
      <c r="E12" s="7"/>
      <c r="F12" s="7"/>
      <c r="G12" s="6"/>
      <c r="H12" s="6"/>
      <c r="I12" s="6"/>
      <c r="J12" s="6"/>
      <c r="K12" s="6"/>
      <c r="L12" s="6"/>
      <c r="M12" s="6"/>
    </row>
    <row r="13" spans="1:13" s="3" customFormat="1" ht="19.5" thickBot="1" x14ac:dyDescent="0.3">
      <c r="A13" s="4"/>
      <c r="B13" s="7"/>
      <c r="C13" s="7"/>
      <c r="D13" s="7"/>
      <c r="E13" s="7"/>
      <c r="F13" s="7"/>
      <c r="G13" s="6"/>
      <c r="H13" s="6"/>
      <c r="I13" s="6"/>
      <c r="J13" s="6"/>
      <c r="K13" s="6"/>
      <c r="L13" s="6"/>
      <c r="M13" s="6"/>
    </row>
    <row r="14" spans="1:13" s="3" customFormat="1" ht="16.5" thickBot="1" x14ac:dyDescent="0.3">
      <c r="A14" s="8" t="s">
        <v>16</v>
      </c>
      <c r="B14" s="9">
        <v>1</v>
      </c>
      <c r="C14" s="10" t="s">
        <v>17</v>
      </c>
      <c r="D14" s="7"/>
      <c r="E14" s="7"/>
      <c r="F14" s="8" t="s">
        <v>16</v>
      </c>
      <c r="G14" s="11" t="s">
        <v>18</v>
      </c>
      <c r="H14" s="6"/>
      <c r="I14" s="6"/>
      <c r="J14" s="6"/>
      <c r="K14" s="6"/>
      <c r="L14" s="6"/>
      <c r="M14" s="6"/>
    </row>
    <row r="15" spans="1:13" s="3" customFormat="1" ht="16.5" thickBot="1" x14ac:dyDescent="0.3">
      <c r="A15" s="12" t="s">
        <v>19</v>
      </c>
      <c r="B15" s="13">
        <v>3</v>
      </c>
      <c r="C15" s="13">
        <v>3</v>
      </c>
      <c r="D15" s="7"/>
      <c r="E15" s="7"/>
      <c r="F15" s="14">
        <v>1</v>
      </c>
      <c r="G15" s="15">
        <v>1.6999999999999999E-3</v>
      </c>
      <c r="H15" s="6"/>
      <c r="I15" s="6"/>
      <c r="J15" s="6"/>
      <c r="K15" s="6"/>
      <c r="L15" s="6"/>
      <c r="M15" s="6"/>
    </row>
    <row r="16" spans="1:13" s="3" customFormat="1" ht="16.5" thickBot="1" x14ac:dyDescent="0.3">
      <c r="A16" s="12" t="s">
        <v>20</v>
      </c>
      <c r="B16" s="16">
        <v>0.03</v>
      </c>
      <c r="C16" s="16">
        <v>0.03</v>
      </c>
      <c r="D16" s="7"/>
      <c r="E16" s="7"/>
      <c r="F16" s="14">
        <v>2</v>
      </c>
      <c r="G16" s="15">
        <v>2.0999999999999999E-3</v>
      </c>
      <c r="H16" s="6"/>
      <c r="I16" s="6"/>
      <c r="J16" s="6"/>
      <c r="K16" s="6"/>
      <c r="L16" s="6"/>
      <c r="M16" s="6"/>
    </row>
    <row r="17" spans="1:13" s="3" customFormat="1" ht="16.5" thickBot="1" x14ac:dyDescent="0.3">
      <c r="A17" s="12" t="s">
        <v>21</v>
      </c>
      <c r="B17" s="17">
        <v>0.8</v>
      </c>
      <c r="C17" s="17">
        <v>0.02</v>
      </c>
      <c r="D17" s="7"/>
      <c r="E17" s="7"/>
      <c r="F17" s="14">
        <v>3</v>
      </c>
      <c r="G17" s="15">
        <v>2.5000000000000001E-3</v>
      </c>
      <c r="H17" s="6"/>
      <c r="I17" s="6"/>
      <c r="J17" s="6"/>
      <c r="K17" s="6"/>
      <c r="L17" s="6"/>
      <c r="M17" s="6"/>
    </row>
    <row r="18" spans="1:13" s="3" customFormat="1" ht="16.5" thickBot="1" x14ac:dyDescent="0.3">
      <c r="A18" s="12" t="s">
        <v>22</v>
      </c>
      <c r="B18" s="13">
        <v>100</v>
      </c>
      <c r="C18" s="13">
        <v>0</v>
      </c>
      <c r="D18" s="7"/>
      <c r="E18" s="7"/>
      <c r="F18" s="14">
        <v>4</v>
      </c>
      <c r="G18" s="15">
        <v>2.8E-3</v>
      </c>
      <c r="H18" s="18"/>
      <c r="I18" s="6"/>
      <c r="J18" s="6"/>
      <c r="K18" s="6"/>
      <c r="L18" s="6"/>
      <c r="M18" s="6"/>
    </row>
    <row r="19" spans="1:13" s="3" customFormat="1" ht="16.5" thickBot="1" x14ac:dyDescent="0.3">
      <c r="A19" s="12" t="s">
        <v>23</v>
      </c>
      <c r="B19" s="13">
        <v>50</v>
      </c>
      <c r="C19" s="13">
        <v>0</v>
      </c>
      <c r="D19" s="7"/>
      <c r="E19" s="7"/>
      <c r="F19" s="14">
        <v>5</v>
      </c>
      <c r="G19" s="15">
        <v>2.8999999999999998E-3</v>
      </c>
      <c r="H19" s="6"/>
      <c r="I19" s="6"/>
      <c r="J19" s="6"/>
      <c r="K19" s="6"/>
      <c r="L19" s="6"/>
      <c r="M19" s="6"/>
    </row>
    <row r="20" spans="1:13" s="3" customFormat="1" ht="16.5" thickBot="1" x14ac:dyDescent="0.3">
      <c r="A20" s="12" t="s">
        <v>24</v>
      </c>
      <c r="B20" s="13">
        <v>35</v>
      </c>
      <c r="C20" s="13">
        <v>35</v>
      </c>
      <c r="D20" s="7"/>
      <c r="E20" s="7"/>
      <c r="F20" s="14">
        <v>6</v>
      </c>
      <c r="G20" s="15">
        <v>3.5000000000000001E-3</v>
      </c>
      <c r="H20" s="6"/>
      <c r="I20" s="6"/>
      <c r="J20" s="6"/>
      <c r="K20" s="6"/>
      <c r="L20" s="6"/>
      <c r="M20" s="6"/>
    </row>
    <row r="21" spans="1:13" s="3" customFormat="1" ht="16.5" thickBot="1" x14ac:dyDescent="0.3">
      <c r="A21" s="12" t="s">
        <v>25</v>
      </c>
      <c r="B21" s="19">
        <v>1000</v>
      </c>
      <c r="C21" s="19">
        <v>1000</v>
      </c>
      <c r="D21" s="7"/>
      <c r="E21" s="7"/>
      <c r="F21" s="14">
        <v>7</v>
      </c>
      <c r="G21" s="15">
        <v>3.7000000000000002E-3</v>
      </c>
      <c r="H21" s="6"/>
      <c r="I21" s="6"/>
      <c r="J21" s="6"/>
      <c r="K21" s="6"/>
      <c r="L21" s="6"/>
      <c r="M21" s="6"/>
    </row>
    <row r="22" spans="1:13" s="3" customFormat="1" ht="16.5" thickBot="1" x14ac:dyDescent="0.3">
      <c r="A22" s="12" t="s">
        <v>4</v>
      </c>
      <c r="B22" s="16">
        <v>2.2499999999999999E-2</v>
      </c>
      <c r="C22" s="16">
        <v>2.2499999999999999E-2</v>
      </c>
      <c r="D22" s="7"/>
      <c r="E22" s="7"/>
      <c r="F22" s="14">
        <v>8</v>
      </c>
      <c r="G22" s="15">
        <v>3.8999999999999998E-3</v>
      </c>
      <c r="H22" s="6"/>
      <c r="I22" s="6"/>
      <c r="J22" s="6"/>
      <c r="K22" s="6"/>
      <c r="L22" s="6"/>
      <c r="M22" s="6"/>
    </row>
    <row r="23" spans="1:13" s="3" customFormat="1" ht="16.5" thickBot="1" x14ac:dyDescent="0.3">
      <c r="A23" s="20"/>
      <c r="B23" s="7"/>
      <c r="C23" s="7"/>
      <c r="D23" s="7"/>
      <c r="E23" s="7"/>
      <c r="F23" s="14">
        <v>9</v>
      </c>
      <c r="G23" s="15">
        <v>4.1000000000000003E-3</v>
      </c>
      <c r="H23" s="6"/>
      <c r="I23" s="6"/>
      <c r="J23" s="6"/>
      <c r="K23" s="6"/>
      <c r="L23" s="6"/>
      <c r="M23" s="6"/>
    </row>
    <row r="24" spans="1:13" ht="16.5" thickBot="1" x14ac:dyDescent="0.3">
      <c r="A24" s="6"/>
      <c r="B24" s="6"/>
      <c r="C24" s="6"/>
      <c r="D24" s="6"/>
      <c r="E24" s="6"/>
      <c r="F24" s="14">
        <v>10</v>
      </c>
      <c r="G24" s="15">
        <v>4.4999999999999997E-3</v>
      </c>
      <c r="H24" s="6"/>
      <c r="I24" s="6"/>
      <c r="J24" s="6"/>
      <c r="K24" s="6"/>
      <c r="L24" s="6"/>
      <c r="M24" s="6"/>
    </row>
    <row r="25" spans="1:13" ht="15.7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.75" x14ac:dyDescent="0.25">
      <c r="A26" s="6" t="s">
        <v>31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5.7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9" spans="1:13" ht="15.75" x14ac:dyDescent="0.25">
      <c r="A29" s="1" t="s">
        <v>0</v>
      </c>
    </row>
    <row r="30" spans="1:13" x14ac:dyDescent="0.25">
      <c r="B30" s="21"/>
    </row>
    <row r="31" spans="1:13" x14ac:dyDescent="0.25">
      <c r="A31" s="2" t="s">
        <v>7</v>
      </c>
      <c r="B31" s="21" t="s">
        <v>27</v>
      </c>
    </row>
    <row r="32" spans="1:13" x14ac:dyDescent="0.25">
      <c r="B32" s="21"/>
    </row>
    <row r="33" spans="1:7" x14ac:dyDescent="0.25">
      <c r="A33" s="22" t="s">
        <v>55</v>
      </c>
      <c r="B33" s="21"/>
    </row>
    <row r="34" spans="1:7" x14ac:dyDescent="0.25">
      <c r="B34" s="27" t="s">
        <v>16</v>
      </c>
      <c r="C34" s="28" t="s">
        <v>39</v>
      </c>
      <c r="D34" s="28" t="s">
        <v>35</v>
      </c>
      <c r="E34" s="28" t="s">
        <v>36</v>
      </c>
      <c r="F34" s="28" t="s">
        <v>37</v>
      </c>
      <c r="G34" s="28" t="s">
        <v>38</v>
      </c>
    </row>
    <row r="35" spans="1:7" x14ac:dyDescent="0.25">
      <c r="B35" s="34">
        <v>0</v>
      </c>
      <c r="D35" s="39"/>
      <c r="E35" s="39">
        <f t="shared" ref="E35:E45" si="0">$B$11*C36</f>
        <v>1000</v>
      </c>
      <c r="F35" s="39"/>
      <c r="G35" s="41">
        <f>E35*$B$12</f>
        <v>100000</v>
      </c>
    </row>
    <row r="36" spans="1:7" x14ac:dyDescent="0.25">
      <c r="B36" s="34">
        <v>1</v>
      </c>
      <c r="C36" s="39">
        <v>1</v>
      </c>
      <c r="D36" s="49">
        <f t="shared" ref="D36:D45" si="1">C36*G15*$B$11</f>
        <v>1.7</v>
      </c>
      <c r="E36" s="39">
        <f t="shared" si="0"/>
        <v>998.3</v>
      </c>
      <c r="F36" s="50">
        <f>D36*$B$12</f>
        <v>170</v>
      </c>
      <c r="G36" s="41">
        <f>G35-F36</f>
        <v>99830</v>
      </c>
    </row>
    <row r="37" spans="1:7" x14ac:dyDescent="0.25">
      <c r="B37" s="34">
        <v>2</v>
      </c>
      <c r="C37" s="48">
        <f t="shared" ref="C37:C45" si="2">C36*(1-G15)</f>
        <v>0.99829999999999997</v>
      </c>
      <c r="D37" s="49">
        <f t="shared" si="1"/>
        <v>2.0964299999999998</v>
      </c>
      <c r="E37" s="39">
        <f t="shared" si="0"/>
        <v>996.2035699999999</v>
      </c>
      <c r="F37" s="50">
        <f t="shared" ref="F37:F45" si="3">D37*$B$12</f>
        <v>209.64299999999997</v>
      </c>
      <c r="G37" s="41">
        <f t="shared" ref="G37:G44" si="4">G36-F37</f>
        <v>99620.357000000004</v>
      </c>
    </row>
    <row r="38" spans="1:7" x14ac:dyDescent="0.25">
      <c r="B38" s="34">
        <v>3</v>
      </c>
      <c r="C38" s="48">
        <f t="shared" si="2"/>
        <v>0.99620356999999993</v>
      </c>
      <c r="D38" s="49">
        <f t="shared" si="1"/>
        <v>2.4905089249999999</v>
      </c>
      <c r="E38" s="39">
        <f t="shared" si="0"/>
        <v>993.71306107500004</v>
      </c>
      <c r="F38" s="50">
        <f t="shared" si="3"/>
        <v>249.05089249999997</v>
      </c>
      <c r="G38" s="41">
        <f t="shared" si="4"/>
        <v>99371.306107500001</v>
      </c>
    </row>
    <row r="39" spans="1:7" x14ac:dyDescent="0.25">
      <c r="B39" s="34">
        <v>4</v>
      </c>
      <c r="C39" s="48">
        <f t="shared" si="2"/>
        <v>0.99371306107500001</v>
      </c>
      <c r="D39" s="49">
        <f t="shared" si="1"/>
        <v>2.78239657101</v>
      </c>
      <c r="E39" s="39">
        <f t="shared" si="0"/>
        <v>990.93066450398999</v>
      </c>
      <c r="F39" s="50">
        <f t="shared" si="3"/>
        <v>278.23965710099998</v>
      </c>
      <c r="G39" s="41">
        <f t="shared" si="4"/>
        <v>99093.066450398997</v>
      </c>
    </row>
    <row r="40" spans="1:7" x14ac:dyDescent="0.25">
      <c r="B40" s="34">
        <v>5</v>
      </c>
      <c r="C40" s="48">
        <f t="shared" si="2"/>
        <v>0.99093066450399003</v>
      </c>
      <c r="D40" s="49">
        <f t="shared" si="1"/>
        <v>2.8736989270615707</v>
      </c>
      <c r="E40" s="39">
        <f t="shared" si="0"/>
        <v>988.05696557692841</v>
      </c>
      <c r="F40" s="50">
        <f t="shared" si="3"/>
        <v>287.36989270615709</v>
      </c>
      <c r="G40" s="41">
        <f t="shared" si="4"/>
        <v>98805.696557692834</v>
      </c>
    </row>
    <row r="41" spans="1:7" x14ac:dyDescent="0.25">
      <c r="B41" s="34">
        <v>6</v>
      </c>
      <c r="C41" s="48">
        <f t="shared" si="2"/>
        <v>0.98805696557692846</v>
      </c>
      <c r="D41" s="49">
        <f t="shared" si="1"/>
        <v>3.4581993795192498</v>
      </c>
      <c r="E41" s="39">
        <f t="shared" si="0"/>
        <v>984.5987661974093</v>
      </c>
      <c r="F41" s="50">
        <f t="shared" si="3"/>
        <v>345.819937951925</v>
      </c>
      <c r="G41" s="41">
        <f t="shared" si="4"/>
        <v>98459.876619740913</v>
      </c>
    </row>
    <row r="42" spans="1:7" x14ac:dyDescent="0.25">
      <c r="B42" s="34">
        <v>7</v>
      </c>
      <c r="C42" s="48">
        <f t="shared" si="2"/>
        <v>0.98459876619740927</v>
      </c>
      <c r="D42" s="49">
        <f t="shared" si="1"/>
        <v>3.6430154349304145</v>
      </c>
      <c r="E42" s="39">
        <f t="shared" si="0"/>
        <v>980.95575076247883</v>
      </c>
      <c r="F42" s="50">
        <f t="shared" si="3"/>
        <v>364.30154349304144</v>
      </c>
      <c r="G42" s="41">
        <f t="shared" si="4"/>
        <v>98095.575076247871</v>
      </c>
    </row>
    <row r="43" spans="1:7" x14ac:dyDescent="0.25">
      <c r="B43" s="34">
        <v>8</v>
      </c>
      <c r="C43" s="48">
        <f t="shared" si="2"/>
        <v>0.98095575076247887</v>
      </c>
      <c r="D43" s="49">
        <f t="shared" si="1"/>
        <v>3.8257274279736673</v>
      </c>
      <c r="E43" s="39">
        <f t="shared" si="0"/>
        <v>977.13002333450515</v>
      </c>
      <c r="F43" s="50">
        <f t="shared" si="3"/>
        <v>382.57274279736674</v>
      </c>
      <c r="G43" s="41">
        <f t="shared" si="4"/>
        <v>97713.002333450509</v>
      </c>
    </row>
    <row r="44" spans="1:7" x14ac:dyDescent="0.25">
      <c r="B44" s="34">
        <v>9</v>
      </c>
      <c r="C44" s="48">
        <f t="shared" si="2"/>
        <v>0.97713002333450516</v>
      </c>
      <c r="D44" s="49">
        <f t="shared" si="1"/>
        <v>4.0062330956714716</v>
      </c>
      <c r="E44" s="39">
        <f t="shared" si="0"/>
        <v>973.12379023883364</v>
      </c>
      <c r="F44" s="50">
        <f t="shared" si="3"/>
        <v>400.62330956714715</v>
      </c>
      <c r="G44" s="41">
        <f t="shared" si="4"/>
        <v>97312.379023883361</v>
      </c>
    </row>
    <row r="45" spans="1:7" x14ac:dyDescent="0.25">
      <c r="B45" s="34">
        <v>10</v>
      </c>
      <c r="C45" s="48">
        <f t="shared" si="2"/>
        <v>0.97312379023883366</v>
      </c>
      <c r="D45" s="49">
        <f t="shared" si="1"/>
        <v>4.3790570560747515</v>
      </c>
      <c r="E45" s="39">
        <f t="shared" si="0"/>
        <v>0</v>
      </c>
      <c r="F45" s="50">
        <f t="shared" si="3"/>
        <v>437.90570560747517</v>
      </c>
      <c r="G45" s="41">
        <v>0</v>
      </c>
    </row>
    <row r="46" spans="1:7" x14ac:dyDescent="0.25">
      <c r="B46" s="21"/>
    </row>
    <row r="47" spans="1:7" x14ac:dyDescent="0.25">
      <c r="A47" s="22" t="s">
        <v>62</v>
      </c>
      <c r="B47" s="21"/>
    </row>
    <row r="48" spans="1:7" x14ac:dyDescent="0.25">
      <c r="B48" s="64" t="s">
        <v>63</v>
      </c>
    </row>
    <row r="49" spans="1:8" x14ac:dyDescent="0.25">
      <c r="B49" s="51">
        <f>B17-C17</f>
        <v>0.78</v>
      </c>
    </row>
    <row r="50" spans="1:8" x14ac:dyDescent="0.25">
      <c r="A50" s="22" t="s">
        <v>64</v>
      </c>
      <c r="B50" s="21"/>
    </row>
    <row r="51" spans="1:8" s="54" customFormat="1" ht="45" x14ac:dyDescent="0.25">
      <c r="B51" s="53" t="s">
        <v>16</v>
      </c>
      <c r="C51" s="55" t="s">
        <v>65</v>
      </c>
      <c r="D51" s="55" t="s">
        <v>66</v>
      </c>
      <c r="E51" s="55" t="s">
        <v>67</v>
      </c>
      <c r="F51" s="56" t="s">
        <v>38</v>
      </c>
      <c r="G51" s="56" t="s">
        <v>68</v>
      </c>
      <c r="H51" s="55" t="s">
        <v>69</v>
      </c>
    </row>
    <row r="52" spans="1:8" x14ac:dyDescent="0.25">
      <c r="B52" s="34">
        <v>0</v>
      </c>
      <c r="F52" s="57">
        <f>G35</f>
        <v>100000</v>
      </c>
    </row>
    <row r="53" spans="1:8" x14ac:dyDescent="0.25">
      <c r="B53" s="34">
        <v>1</v>
      </c>
      <c r="C53" s="25">
        <f>B49*F52*B15</f>
        <v>234000</v>
      </c>
      <c r="D53" s="25">
        <f>B19*B11</f>
        <v>50000</v>
      </c>
      <c r="E53" s="26">
        <f>C53+D53</f>
        <v>284000</v>
      </c>
      <c r="F53" s="57">
        <f t="shared" ref="F53:F62" si="5">G36</f>
        <v>99830</v>
      </c>
      <c r="G53" s="58">
        <f>F52/SUM($F$52:$F$62)</f>
        <v>0.10118372214165985</v>
      </c>
      <c r="H53" s="59">
        <f>G53*$E$53</f>
        <v>28736.177088231398</v>
      </c>
    </row>
    <row r="54" spans="1:8" x14ac:dyDescent="0.25">
      <c r="B54" s="34">
        <v>2</v>
      </c>
      <c r="C54" s="25"/>
      <c r="F54" s="57">
        <f t="shared" si="5"/>
        <v>99620.357000000004</v>
      </c>
      <c r="G54" s="58">
        <f t="shared" ref="G54:G62" si="6">F53/SUM($F$52:$F$62)</f>
        <v>0.10101170981401904</v>
      </c>
      <c r="H54" s="59">
        <f t="shared" ref="H54:H62" si="7">G54*$E$53</f>
        <v>28687.325587181407</v>
      </c>
    </row>
    <row r="55" spans="1:8" x14ac:dyDescent="0.25">
      <c r="B55" s="34">
        <v>3</v>
      </c>
      <c r="C55" s="25"/>
      <c r="F55" s="57">
        <f t="shared" si="5"/>
        <v>99371.306107500001</v>
      </c>
      <c r="G55" s="58">
        <f t="shared" si="6"/>
        <v>0.10079958522340959</v>
      </c>
      <c r="H55" s="59">
        <f t="shared" si="7"/>
        <v>28627.082203448324</v>
      </c>
    </row>
    <row r="56" spans="1:8" x14ac:dyDescent="0.25">
      <c r="B56" s="34">
        <v>4</v>
      </c>
      <c r="C56" s="25"/>
      <c r="F56" s="57">
        <f t="shared" si="5"/>
        <v>99093.066450398997</v>
      </c>
      <c r="G56" s="58">
        <f t="shared" si="6"/>
        <v>0.10054758626035107</v>
      </c>
      <c r="H56" s="59">
        <f t="shared" si="7"/>
        <v>28555.514497939705</v>
      </c>
    </row>
    <row r="57" spans="1:8" x14ac:dyDescent="0.25">
      <c r="B57" s="34">
        <v>5</v>
      </c>
      <c r="C57" s="25"/>
      <c r="F57" s="57">
        <f t="shared" si="5"/>
        <v>98805.696557692834</v>
      </c>
      <c r="G57" s="58">
        <f t="shared" si="6"/>
        <v>0.10026605301882209</v>
      </c>
      <c r="H57" s="59">
        <f t="shared" si="7"/>
        <v>28475.559057345472</v>
      </c>
    </row>
    <row r="58" spans="1:8" x14ac:dyDescent="0.25">
      <c r="B58" s="34">
        <v>6</v>
      </c>
      <c r="C58" s="25"/>
      <c r="F58" s="57">
        <f t="shared" si="5"/>
        <v>98459.876619740913</v>
      </c>
      <c r="G58" s="58">
        <f t="shared" si="6"/>
        <v>9.9975281465067498E-2</v>
      </c>
      <c r="H58" s="59">
        <f t="shared" si="7"/>
        <v>28392.979936079169</v>
      </c>
    </row>
    <row r="59" spans="1:8" x14ac:dyDescent="0.25">
      <c r="B59" s="34">
        <v>7</v>
      </c>
      <c r="C59" s="25"/>
      <c r="F59" s="57">
        <f t="shared" si="5"/>
        <v>98095.575076247871</v>
      </c>
      <c r="G59" s="58">
        <f t="shared" si="6"/>
        <v>9.9625367979939761E-2</v>
      </c>
      <c r="H59" s="59">
        <f t="shared" si="7"/>
        <v>28293.604506302891</v>
      </c>
    </row>
    <row r="60" spans="1:8" x14ac:dyDescent="0.25">
      <c r="B60" s="34">
        <v>8</v>
      </c>
      <c r="C60" s="25"/>
      <c r="F60" s="57">
        <f t="shared" si="5"/>
        <v>97713.002333450509</v>
      </c>
      <c r="G60" s="58">
        <f t="shared" si="6"/>
        <v>9.925675411841399E-2</v>
      </c>
      <c r="H60" s="59">
        <f t="shared" si="7"/>
        <v>28188.918169629575</v>
      </c>
    </row>
    <row r="61" spans="1:8" x14ac:dyDescent="0.25">
      <c r="B61" s="34">
        <v>9</v>
      </c>
      <c r="F61" s="57">
        <f t="shared" si="5"/>
        <v>97312.379023883361</v>
      </c>
      <c r="G61" s="58">
        <f t="shared" si="6"/>
        <v>9.8869652777352171E-2</v>
      </c>
      <c r="H61" s="59">
        <f t="shared" si="7"/>
        <v>28078.981388768017</v>
      </c>
    </row>
    <row r="62" spans="1:8" x14ac:dyDescent="0.25">
      <c r="B62" s="35">
        <v>10</v>
      </c>
      <c r="C62" s="33"/>
      <c r="D62" s="33"/>
      <c r="E62" s="33"/>
      <c r="F62" s="60">
        <f t="shared" si="5"/>
        <v>0</v>
      </c>
      <c r="G62" s="61">
        <f t="shared" si="6"/>
        <v>9.8464287200965034E-2</v>
      </c>
      <c r="H62" s="62">
        <f t="shared" si="7"/>
        <v>27963.857565074071</v>
      </c>
    </row>
    <row r="63" spans="1:8" x14ac:dyDescent="0.25">
      <c r="B63" s="36" t="s">
        <v>54</v>
      </c>
      <c r="F63" s="25">
        <f>SUM(F52:F62)</f>
        <v>988301.2591689144</v>
      </c>
      <c r="G63" s="58">
        <f>SUM(G53:G62)</f>
        <v>1</v>
      </c>
      <c r="H63" s="59">
        <f>SUM(H53:H62)</f>
        <v>284000.00000000006</v>
      </c>
    </row>
    <row r="64" spans="1:8" ht="15.75" thickBot="1" x14ac:dyDescent="0.3">
      <c r="B64" s="21"/>
    </row>
    <row r="65" spans="1:5" ht="15.75" thickBot="1" x14ac:dyDescent="0.3">
      <c r="A65" s="22" t="s">
        <v>32</v>
      </c>
      <c r="B65" s="63">
        <f>H53</f>
        <v>28736.177088231398</v>
      </c>
    </row>
    <row r="67" spans="1:5" x14ac:dyDescent="0.25">
      <c r="B67" s="21"/>
    </row>
    <row r="68" spans="1:5" ht="15.75" x14ac:dyDescent="0.25">
      <c r="A68" s="23" t="s">
        <v>33</v>
      </c>
      <c r="B68" s="5"/>
      <c r="C68" s="5"/>
      <c r="D68" s="5"/>
      <c r="E68" s="5"/>
    </row>
    <row r="69" spans="1:5" x14ac:dyDescent="0.25">
      <c r="A69" s="22"/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8C5D1-425F-42CC-BC3D-65AC0C0C2CC9}">
  <dimension ref="A1:M76"/>
  <sheetViews>
    <sheetView topLeftCell="A21" zoomScale="80" zoomScaleNormal="80" workbookViewId="0">
      <selection activeCell="B39" sqref="B39"/>
    </sheetView>
  </sheetViews>
  <sheetFormatPr defaultColWidth="9.140625" defaultRowHeight="15" x14ac:dyDescent="0.25"/>
  <cols>
    <col min="1" max="1" width="9.28515625" style="2" customWidth="1"/>
    <col min="2" max="2" width="42.5703125" style="2" bestFit="1" customWidth="1"/>
    <col min="3" max="3" width="13.85546875" style="2" customWidth="1"/>
    <col min="4" max="4" width="13" style="2" customWidth="1"/>
    <col min="5" max="5" width="10.85546875" style="2" customWidth="1"/>
    <col min="6" max="6" width="15" style="2" customWidth="1"/>
    <col min="7" max="7" width="8.28515625" style="2" customWidth="1"/>
    <col min="8" max="16384" width="9.140625" style="2"/>
  </cols>
  <sheetData>
    <row r="1" spans="1:13" ht="18.75" x14ac:dyDescent="0.25">
      <c r="A1" s="4" t="s">
        <v>113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</row>
    <row r="2" spans="1:13" ht="18.75" x14ac:dyDescent="0.25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</row>
    <row r="3" spans="1:13" ht="18.75" x14ac:dyDescent="0.25">
      <c r="A3" s="4" t="s">
        <v>112</v>
      </c>
      <c r="B3" s="4"/>
      <c r="C3" s="4"/>
      <c r="D3" s="4"/>
      <c r="E3" s="4"/>
      <c r="F3" s="4"/>
      <c r="G3" s="6"/>
      <c r="H3" s="6"/>
      <c r="I3" s="6"/>
      <c r="J3" s="6"/>
      <c r="K3" s="6"/>
      <c r="L3" s="6"/>
      <c r="M3" s="6"/>
    </row>
    <row r="4" spans="1:13" ht="18.75" x14ac:dyDescent="0.25">
      <c r="A4" s="4" t="s">
        <v>111</v>
      </c>
      <c r="B4" s="4"/>
      <c r="C4" s="4"/>
      <c r="D4" s="4"/>
      <c r="E4" s="4"/>
      <c r="F4" s="4"/>
      <c r="G4" s="6"/>
      <c r="H4" s="6"/>
      <c r="I4" s="6"/>
      <c r="J4" s="6"/>
      <c r="K4" s="6"/>
      <c r="L4" s="6"/>
      <c r="M4" s="6"/>
    </row>
    <row r="5" spans="1:13" ht="18.75" x14ac:dyDescent="0.25">
      <c r="A5" s="4" t="s">
        <v>110</v>
      </c>
      <c r="B5" s="4"/>
      <c r="C5" s="4"/>
      <c r="D5" s="4"/>
      <c r="E5" s="4"/>
      <c r="F5" s="4"/>
      <c r="G5" s="6"/>
      <c r="H5" s="6"/>
      <c r="I5" s="6"/>
      <c r="J5" s="6"/>
      <c r="K5" s="6"/>
      <c r="L5" s="6"/>
      <c r="M5" s="6"/>
    </row>
    <row r="6" spans="1:13" s="3" customFormat="1" ht="18.75" x14ac:dyDescent="0.25">
      <c r="A6" s="4" t="s">
        <v>109</v>
      </c>
      <c r="B6" s="4"/>
      <c r="C6" s="4"/>
      <c r="D6" s="4"/>
      <c r="E6" s="4"/>
      <c r="F6" s="4"/>
      <c r="G6" s="6"/>
      <c r="H6" s="6"/>
      <c r="I6" s="6"/>
      <c r="J6" s="6"/>
      <c r="K6" s="6"/>
      <c r="L6" s="6"/>
      <c r="M6" s="6"/>
    </row>
    <row r="7" spans="1:13" s="3" customFormat="1" ht="18.75" x14ac:dyDescent="0.25">
      <c r="A7" s="4" t="s">
        <v>108</v>
      </c>
      <c r="B7" s="4"/>
      <c r="C7" s="4"/>
      <c r="D7" s="4"/>
      <c r="E7" s="4"/>
      <c r="F7" s="4"/>
      <c r="G7" s="6"/>
      <c r="H7" s="6"/>
      <c r="I7" s="6"/>
      <c r="J7" s="6"/>
      <c r="K7" s="6"/>
      <c r="L7" s="6"/>
      <c r="M7" s="6"/>
    </row>
    <row r="8" spans="1:13" s="1" customFormat="1" ht="18.75" x14ac:dyDescent="0.25">
      <c r="A8" s="4" t="s">
        <v>107</v>
      </c>
      <c r="B8" s="4"/>
      <c r="C8" s="4"/>
      <c r="D8" s="4"/>
      <c r="E8" s="4"/>
      <c r="F8" s="4"/>
      <c r="G8" s="6"/>
      <c r="H8" s="6"/>
      <c r="I8" s="6"/>
      <c r="J8" s="6"/>
      <c r="K8" s="6"/>
      <c r="L8" s="6"/>
      <c r="M8" s="6"/>
    </row>
    <row r="9" spans="1:13" s="1" customFormat="1" ht="19.5" thickBot="1" x14ac:dyDescent="0.3">
      <c r="A9" s="4"/>
      <c r="B9" s="5"/>
      <c r="C9" s="5"/>
      <c r="D9" s="5"/>
      <c r="E9" s="5"/>
      <c r="F9" s="5"/>
      <c r="G9" s="6"/>
      <c r="H9" s="6"/>
      <c r="I9" s="6"/>
      <c r="J9" s="6"/>
      <c r="K9" s="6"/>
      <c r="L9" s="6"/>
      <c r="M9" s="6"/>
    </row>
    <row r="10" spans="1:13" s="1" customFormat="1" ht="16.5" thickBot="1" x14ac:dyDescent="0.3">
      <c r="A10" s="77" t="s">
        <v>106</v>
      </c>
      <c r="B10" s="76" t="s">
        <v>105</v>
      </c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</row>
    <row r="11" spans="1:13" s="1" customFormat="1" ht="15.75" customHeight="1" thickBot="1" x14ac:dyDescent="0.3">
      <c r="A11" s="75" t="s">
        <v>104</v>
      </c>
      <c r="B11" s="74">
        <v>2.9999999999999997E-4</v>
      </c>
      <c r="C11" s="5"/>
      <c r="D11" s="5"/>
      <c r="E11" s="5"/>
      <c r="F11" s="5"/>
      <c r="G11" s="6"/>
      <c r="H11" s="6"/>
      <c r="I11" s="6"/>
      <c r="J11" s="6"/>
      <c r="K11" s="6"/>
      <c r="L11" s="6"/>
      <c r="M11" s="6"/>
    </row>
    <row r="12" spans="1:13" s="3" customFormat="1" ht="16.5" thickBot="1" x14ac:dyDescent="0.3">
      <c r="A12" s="75" t="s">
        <v>103</v>
      </c>
      <c r="B12" s="74">
        <v>5.0000000000000001E-4</v>
      </c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</row>
    <row r="13" spans="1:13" s="3" customFormat="1" ht="16.5" thickBot="1" x14ac:dyDescent="0.3">
      <c r="A13" s="75" t="s">
        <v>102</v>
      </c>
      <c r="B13" s="74">
        <v>8.9999999999999998E-4</v>
      </c>
      <c r="C13" s="5"/>
      <c r="D13" s="5"/>
      <c r="E13" s="5"/>
      <c r="F13" s="5"/>
      <c r="G13" s="6"/>
      <c r="H13" s="6"/>
      <c r="I13" s="6"/>
      <c r="J13" s="6"/>
      <c r="K13" s="6"/>
      <c r="L13" s="6"/>
      <c r="M13" s="6"/>
    </row>
    <row r="14" spans="1:13" s="3" customFormat="1" ht="16.5" thickBot="1" x14ac:dyDescent="0.3">
      <c r="A14" s="75" t="s">
        <v>101</v>
      </c>
      <c r="B14" s="74">
        <v>1.5E-3</v>
      </c>
      <c r="C14" s="5"/>
      <c r="D14" s="5"/>
      <c r="E14" s="5"/>
      <c r="F14" s="5"/>
      <c r="G14" s="6"/>
      <c r="H14" s="6"/>
      <c r="I14" s="6"/>
      <c r="J14" s="6"/>
      <c r="K14" s="6"/>
      <c r="L14" s="6"/>
      <c r="M14" s="6"/>
    </row>
    <row r="15" spans="1:13" s="3" customFormat="1" ht="16.5" thickBot="1" x14ac:dyDescent="0.3">
      <c r="A15" s="75" t="s">
        <v>100</v>
      </c>
      <c r="B15" s="74">
        <v>2.5000000000000001E-3</v>
      </c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</row>
    <row r="16" spans="1:13" s="3" customFormat="1" ht="16.5" thickBot="1" x14ac:dyDescent="0.3">
      <c r="A16" s="75" t="s">
        <v>99</v>
      </c>
      <c r="B16" s="74">
        <v>4.4999999999999997E-3</v>
      </c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</row>
    <row r="17" spans="1:13" s="3" customFormat="1" ht="16.5" thickBot="1" x14ac:dyDescent="0.3">
      <c r="A17" s="75" t="s">
        <v>98</v>
      </c>
      <c r="B17" s="74">
        <v>8.0000000000000002E-3</v>
      </c>
      <c r="C17" s="5"/>
      <c r="D17" s="5"/>
      <c r="E17" s="5"/>
      <c r="F17" s="5"/>
      <c r="G17" s="6"/>
      <c r="H17" s="6"/>
      <c r="I17" s="6"/>
      <c r="J17" s="6"/>
      <c r="K17" s="6"/>
      <c r="L17" s="6"/>
      <c r="M17" s="6"/>
    </row>
    <row r="18" spans="1:13" s="3" customFormat="1" ht="15.75" x14ac:dyDescent="0.25">
      <c r="A18" s="73"/>
      <c r="B18" s="72"/>
      <c r="C18" s="5"/>
      <c r="D18" s="5"/>
      <c r="E18" s="5"/>
      <c r="F18" s="5"/>
      <c r="G18" s="6"/>
      <c r="H18" s="6"/>
      <c r="I18" s="6"/>
      <c r="J18" s="6"/>
      <c r="K18" s="6"/>
      <c r="L18" s="6"/>
      <c r="M18" s="6"/>
    </row>
    <row r="19" spans="1:13" s="3" customFormat="1" ht="18.75" x14ac:dyDescent="0.25">
      <c r="A19" s="4"/>
      <c r="B19" s="5"/>
      <c r="C19" s="5"/>
      <c r="D19" s="5"/>
      <c r="E19" s="5"/>
      <c r="F19" s="5"/>
      <c r="G19" s="6"/>
      <c r="H19" s="6"/>
      <c r="I19" s="6"/>
      <c r="J19" s="6"/>
      <c r="K19" s="6"/>
      <c r="L19" s="6"/>
      <c r="M19" s="6"/>
    </row>
    <row r="20" spans="1:13" s="3" customFormat="1" ht="15.75" x14ac:dyDescent="0.25">
      <c r="A20" s="71" t="s">
        <v>97</v>
      </c>
      <c r="B20" s="5"/>
      <c r="C20" s="5"/>
      <c r="D20" s="5"/>
      <c r="E20" s="5"/>
      <c r="F20" s="5"/>
      <c r="G20" s="6"/>
      <c r="H20" s="6"/>
      <c r="I20" s="6"/>
      <c r="J20" s="6"/>
      <c r="K20" s="6"/>
      <c r="L20" s="6"/>
      <c r="M20" s="6"/>
    </row>
    <row r="21" spans="1:13" s="3" customFormat="1" ht="15.75" x14ac:dyDescent="0.25">
      <c r="A21" s="5"/>
      <c r="B21" s="5" t="s">
        <v>96</v>
      </c>
      <c r="C21" s="5"/>
      <c r="D21" s="5"/>
      <c r="E21" s="5"/>
      <c r="F21" s="5"/>
      <c r="G21" s="6"/>
      <c r="H21" s="6"/>
      <c r="I21" s="6"/>
      <c r="J21" s="6"/>
      <c r="K21" s="6"/>
      <c r="L21" s="6"/>
      <c r="M21" s="6"/>
    </row>
    <row r="22" spans="1:13" s="3" customFormat="1" ht="15.75" x14ac:dyDescent="0.25">
      <c r="A22" s="5"/>
      <c r="B22" s="5" t="s">
        <v>95</v>
      </c>
      <c r="C22" s="5"/>
      <c r="D22" s="5"/>
      <c r="E22" s="5"/>
      <c r="F22" s="5"/>
      <c r="G22" s="6"/>
      <c r="H22" s="6"/>
      <c r="I22" s="6"/>
      <c r="J22" s="6"/>
      <c r="K22" s="6"/>
      <c r="L22" s="6"/>
      <c r="M22" s="6"/>
    </row>
    <row r="23" spans="1:13" s="3" customFormat="1" ht="15.75" x14ac:dyDescent="0.25">
      <c r="A23" s="70"/>
      <c r="B23" s="70" t="s">
        <v>94</v>
      </c>
      <c r="C23" s="70"/>
      <c r="D23" s="69"/>
      <c r="E23" s="70"/>
      <c r="F23" s="69"/>
      <c r="G23" s="6"/>
      <c r="H23" s="6"/>
      <c r="I23" s="6"/>
      <c r="J23" s="6"/>
      <c r="K23" s="6"/>
      <c r="L23" s="6"/>
      <c r="M23" s="6"/>
    </row>
    <row r="24" spans="1:13" ht="15.7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6" spans="1:13" ht="15.75" x14ac:dyDescent="0.25">
      <c r="A26" s="1" t="s">
        <v>0</v>
      </c>
    </row>
    <row r="27" spans="1:13" x14ac:dyDescent="0.25">
      <c r="B27" s="21"/>
    </row>
    <row r="28" spans="1:13" x14ac:dyDescent="0.25">
      <c r="A28" s="2" t="s">
        <v>2</v>
      </c>
      <c r="B28" s="21" t="s">
        <v>27</v>
      </c>
    </row>
    <row r="29" spans="1:13" x14ac:dyDescent="0.25">
      <c r="B29" s="21"/>
    </row>
    <row r="30" spans="1:13" x14ac:dyDescent="0.25">
      <c r="B30" s="29" t="s">
        <v>93</v>
      </c>
    </row>
    <row r="31" spans="1:13" x14ac:dyDescent="0.25">
      <c r="B31" s="21" t="s">
        <v>92</v>
      </c>
    </row>
    <row r="32" spans="1:13" x14ac:dyDescent="0.25">
      <c r="B32" s="21"/>
    </row>
    <row r="33" spans="2:13" x14ac:dyDescent="0.25">
      <c r="B33" s="21" t="s">
        <v>91</v>
      </c>
      <c r="C33" s="2" t="s">
        <v>77</v>
      </c>
      <c r="D33" s="2" t="s">
        <v>90</v>
      </c>
      <c r="E33" s="2" t="s">
        <v>89</v>
      </c>
      <c r="F33" s="2" t="s">
        <v>88</v>
      </c>
    </row>
    <row r="34" spans="2:13" x14ac:dyDescent="0.25">
      <c r="B34" s="21">
        <v>1</v>
      </c>
      <c r="C34" s="2">
        <v>1</v>
      </c>
      <c r="D34" s="2">
        <f>B11</f>
        <v>2.9999999999999997E-4</v>
      </c>
      <c r="E34" s="2">
        <f>D34*C34</f>
        <v>2.9999999999999997E-4</v>
      </c>
      <c r="F34" s="2">
        <f>E34*1000</f>
        <v>0.3</v>
      </c>
    </row>
    <row r="35" spans="2:13" x14ac:dyDescent="0.25">
      <c r="B35" s="21">
        <v>2</v>
      </c>
      <c r="C35" s="2">
        <f>C34-E34</f>
        <v>0.99970000000000003</v>
      </c>
      <c r="D35" s="2">
        <f>B12</f>
        <v>5.0000000000000001E-4</v>
      </c>
      <c r="E35" s="2">
        <f>D35*C35</f>
        <v>4.9985000000000003E-4</v>
      </c>
      <c r="F35" s="2">
        <f>E35*1000</f>
        <v>0.49985000000000002</v>
      </c>
    </row>
    <row r="36" spans="2:13" x14ac:dyDescent="0.25">
      <c r="B36" s="21">
        <v>3</v>
      </c>
      <c r="C36" s="2">
        <f>C35-E35</f>
        <v>0.99920015000000006</v>
      </c>
      <c r="D36" s="2">
        <f>B13</f>
        <v>8.9999999999999998E-4</v>
      </c>
      <c r="E36" s="2">
        <f>D36*C36</f>
        <v>8.9928013500000003E-4</v>
      </c>
      <c r="F36" s="2">
        <f>E36*1000</f>
        <v>0.89928013500000004</v>
      </c>
    </row>
    <row r="37" spans="2:13" x14ac:dyDescent="0.25">
      <c r="B37" s="21">
        <v>4</v>
      </c>
      <c r="C37" s="2">
        <f>C36-E36</f>
        <v>0.99830086986500011</v>
      </c>
      <c r="D37" s="2">
        <f>B14</f>
        <v>1.5E-3</v>
      </c>
      <c r="E37" s="2">
        <f>D37*C37</f>
        <v>1.4974513047975003E-3</v>
      </c>
      <c r="F37" s="2">
        <f>E37*1000</f>
        <v>1.4974513047975002</v>
      </c>
    </row>
    <row r="38" spans="2:13" x14ac:dyDescent="0.25">
      <c r="B38" s="21">
        <v>5</v>
      </c>
      <c r="C38" s="2">
        <f>C37-E37</f>
        <v>0.9968034185602026</v>
      </c>
      <c r="D38" s="2">
        <f>B15</f>
        <v>2.5000000000000001E-3</v>
      </c>
      <c r="E38" s="2">
        <f>D38*C38</f>
        <v>2.4920085464005064E-3</v>
      </c>
      <c r="F38" s="2">
        <f>E38*1000</f>
        <v>2.4920085464005064</v>
      </c>
    </row>
    <row r="39" spans="2:13" x14ac:dyDescent="0.25">
      <c r="B39" s="21">
        <v>6</v>
      </c>
      <c r="C39" s="2">
        <f>C38-E38</f>
        <v>0.99431141001380208</v>
      </c>
      <c r="D39" s="2">
        <f>B16</f>
        <v>4.4999999999999997E-3</v>
      </c>
      <c r="E39" s="2">
        <f>D39*C39</f>
        <v>4.4744013450621093E-3</v>
      </c>
      <c r="F39" s="2">
        <f>E39*1000</f>
        <v>4.474401345062109</v>
      </c>
    </row>
    <row r="40" spans="2:13" x14ac:dyDescent="0.25">
      <c r="B40" s="21">
        <v>7</v>
      </c>
      <c r="C40" s="2">
        <f>C39-E39</f>
        <v>0.98983700866873991</v>
      </c>
      <c r="D40" s="2">
        <f>B17</f>
        <v>8.0000000000000002E-3</v>
      </c>
      <c r="E40" s="2">
        <f>D40*C40</f>
        <v>7.9186960693499193E-3</v>
      </c>
      <c r="F40" s="2">
        <f>E40*1000</f>
        <v>7.9186960693499193</v>
      </c>
    </row>
    <row r="41" spans="2:13" x14ac:dyDescent="0.25">
      <c r="B41" s="21" t="s">
        <v>87</v>
      </c>
      <c r="C41" s="2">
        <f>C40-E40</f>
        <v>0.98191831259939</v>
      </c>
    </row>
    <row r="42" spans="2:13" x14ac:dyDescent="0.25">
      <c r="B42" s="21"/>
    </row>
    <row r="43" spans="2:13" x14ac:dyDescent="0.25">
      <c r="B43" s="21"/>
    </row>
    <row r="44" spans="2:13" x14ac:dyDescent="0.25">
      <c r="B44" s="21" t="s">
        <v>86</v>
      </c>
      <c r="C44" s="66">
        <f>NPV(0.05,F34:F40)</f>
        <v>13.666972390130811</v>
      </c>
    </row>
    <row r="45" spans="2:13" x14ac:dyDescent="0.25">
      <c r="B45" s="21" t="s">
        <v>85</v>
      </c>
      <c r="C45" s="2">
        <f>500*C41*1.05^-7</f>
        <v>348.91550623862946</v>
      </c>
    </row>
    <row r="46" spans="2:13" x14ac:dyDescent="0.25">
      <c r="B46" s="21"/>
    </row>
    <row r="47" spans="2:13" x14ac:dyDescent="0.25">
      <c r="B47" s="21" t="s">
        <v>84</v>
      </c>
      <c r="C47" s="66">
        <f>C44+C45</f>
        <v>362.58247862876027</v>
      </c>
    </row>
    <row r="48" spans="2:13" ht="15.75" thickBot="1" x14ac:dyDescent="0.3">
      <c r="B48" s="68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</row>
    <row r="49" spans="2:13" x14ac:dyDescent="0.25">
      <c r="B49" s="29" t="s">
        <v>83</v>
      </c>
    </row>
    <row r="50" spans="2:13" x14ac:dyDescent="0.25">
      <c r="B50" s="29"/>
    </row>
    <row r="51" spans="2:13" x14ac:dyDescent="0.25">
      <c r="B51" s="21" t="s">
        <v>82</v>
      </c>
    </row>
    <row r="52" spans="2:13" x14ac:dyDescent="0.25">
      <c r="B52" s="29"/>
    </row>
    <row r="53" spans="2:13" x14ac:dyDescent="0.25">
      <c r="B53" s="21" t="s">
        <v>81</v>
      </c>
      <c r="C53" s="66">
        <f>250/C47</f>
        <v>0.68949829276215291</v>
      </c>
    </row>
    <row r="54" spans="2:13" x14ac:dyDescent="0.25">
      <c r="B54" s="21"/>
    </row>
    <row r="55" spans="2:13" x14ac:dyDescent="0.25">
      <c r="B55" s="21" t="s">
        <v>80</v>
      </c>
      <c r="C55" s="66">
        <f>C53*1000</f>
        <v>689.49829276215291</v>
      </c>
    </row>
    <row r="56" spans="2:13" ht="15.75" thickBot="1" x14ac:dyDescent="0.3">
      <c r="B56" s="68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</row>
    <row r="57" spans="2:13" x14ac:dyDescent="0.25">
      <c r="B57" s="21"/>
    </row>
    <row r="58" spans="2:13" x14ac:dyDescent="0.25">
      <c r="B58" s="21" t="s">
        <v>79</v>
      </c>
    </row>
    <row r="59" spans="2:13" x14ac:dyDescent="0.25">
      <c r="B59" s="21"/>
    </row>
    <row r="60" spans="2:13" x14ac:dyDescent="0.25">
      <c r="B60" s="21" t="s">
        <v>78</v>
      </c>
      <c r="C60" s="2">
        <f>SUMPRODUCT(E61:E67,F61:F67)</f>
        <v>6.0585423177848146</v>
      </c>
      <c r="E60" s="2" t="s">
        <v>77</v>
      </c>
      <c r="F60" s="2" t="s">
        <v>76</v>
      </c>
    </row>
    <row r="61" spans="2:13" x14ac:dyDescent="0.25">
      <c r="B61" s="21"/>
      <c r="E61" s="2">
        <f>C34</f>
        <v>1</v>
      </c>
      <c r="F61" s="2">
        <v>1</v>
      </c>
    </row>
    <row r="62" spans="2:13" x14ac:dyDescent="0.25">
      <c r="B62" s="21" t="s">
        <v>75</v>
      </c>
      <c r="C62" s="66">
        <f>C47</f>
        <v>362.58247862876027</v>
      </c>
      <c r="E62" s="2">
        <f>C35</f>
        <v>0.99970000000000003</v>
      </c>
      <c r="F62" s="2">
        <f>F61*1.05^-1</f>
        <v>0.95238095238095233</v>
      </c>
    </row>
    <row r="63" spans="2:13" x14ac:dyDescent="0.25">
      <c r="B63" s="21"/>
      <c r="E63" s="2">
        <f>C36</f>
        <v>0.99920015000000006</v>
      </c>
      <c r="F63" s="2">
        <f>F62*1.05^-1</f>
        <v>0.90702947845804982</v>
      </c>
    </row>
    <row r="64" spans="2:13" x14ac:dyDescent="0.25">
      <c r="B64" s="21" t="s">
        <v>74</v>
      </c>
      <c r="C64" s="66">
        <f>C62/C60</f>
        <v>59.846487754059517</v>
      </c>
      <c r="E64" s="2">
        <f>C37</f>
        <v>0.99830086986500011</v>
      </c>
      <c r="F64" s="2">
        <f>F63*1.05^-1</f>
        <v>0.86383759853147601</v>
      </c>
    </row>
    <row r="65" spans="1:6" x14ac:dyDescent="0.25">
      <c r="B65" s="21"/>
      <c r="E65" s="2">
        <f>C38</f>
        <v>0.9968034185602026</v>
      </c>
      <c r="F65" s="2">
        <f>F64*1.05^-1</f>
        <v>0.82270247479188185</v>
      </c>
    </row>
    <row r="66" spans="1:6" x14ac:dyDescent="0.25">
      <c r="B66" s="21"/>
      <c r="E66" s="2">
        <f>C39</f>
        <v>0.99431141001380208</v>
      </c>
      <c r="F66" s="2">
        <f>F65*1.05^-1</f>
        <v>0.78352616646845885</v>
      </c>
    </row>
    <row r="67" spans="1:6" x14ac:dyDescent="0.25">
      <c r="E67" s="2">
        <f>C40</f>
        <v>0.98983700866873991</v>
      </c>
      <c r="F67" s="2">
        <f>F66*1.05^-1</f>
        <v>0.74621539663662739</v>
      </c>
    </row>
    <row r="68" spans="1:6" x14ac:dyDescent="0.25">
      <c r="B68" s="21"/>
    </row>
    <row r="69" spans="1:6" ht="15.75" thickBot="1" x14ac:dyDescent="0.3">
      <c r="B69" s="21"/>
    </row>
    <row r="70" spans="1:6" ht="15.75" thickBot="1" x14ac:dyDescent="0.3">
      <c r="A70" s="22" t="s">
        <v>73</v>
      </c>
      <c r="B70" s="22"/>
      <c r="C70" s="65">
        <f>C47</f>
        <v>362.58247862876027</v>
      </c>
    </row>
    <row r="71" spans="1:6" ht="15.75" thickBot="1" x14ac:dyDescent="0.3">
      <c r="A71" s="22"/>
      <c r="B71" s="22"/>
    </row>
    <row r="72" spans="1:6" ht="15.75" thickBot="1" x14ac:dyDescent="0.3">
      <c r="A72" s="22" t="s">
        <v>72</v>
      </c>
      <c r="B72" s="22"/>
      <c r="C72" s="65">
        <f>C55</f>
        <v>689.49829276215291</v>
      </c>
    </row>
    <row r="73" spans="1:6" ht="15.75" thickBot="1" x14ac:dyDescent="0.3">
      <c r="A73" s="22"/>
      <c r="B73" s="22"/>
    </row>
    <row r="74" spans="1:6" ht="15.75" thickBot="1" x14ac:dyDescent="0.3">
      <c r="A74" s="22" t="s">
        <v>71</v>
      </c>
      <c r="B74" s="22"/>
      <c r="C74" s="65">
        <f>C64</f>
        <v>59.846487754059517</v>
      </c>
    </row>
    <row r="76" spans="1:6" ht="15.75" x14ac:dyDescent="0.25">
      <c r="A76" s="23" t="s">
        <v>70</v>
      </c>
      <c r="B76" s="5"/>
      <c r="C76" s="5"/>
      <c r="D76" s="5"/>
      <c r="E76" s="5"/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60412-36D4-433D-B8C5-D1AFB0048361}">
  <dimension ref="A1:K74"/>
  <sheetViews>
    <sheetView workbookViewId="0">
      <selection activeCell="A19" sqref="A19"/>
    </sheetView>
  </sheetViews>
  <sheetFormatPr defaultColWidth="8.85546875" defaultRowHeight="15" x14ac:dyDescent="0.25"/>
  <cols>
    <col min="1" max="1" width="36.42578125" customWidth="1"/>
    <col min="2" max="2" width="26.85546875" customWidth="1"/>
    <col min="5" max="5" width="30.28515625" customWidth="1"/>
    <col min="6" max="6" width="28.140625" customWidth="1"/>
    <col min="7" max="7" width="24.42578125" customWidth="1"/>
    <col min="9" max="9" width="30.28515625" customWidth="1"/>
    <col min="10" max="10" width="28.140625" customWidth="1"/>
    <col min="11" max="11" width="24.42578125" customWidth="1"/>
  </cols>
  <sheetData>
    <row r="1" spans="1:11" ht="15.75" thickBot="1" x14ac:dyDescent="0.3">
      <c r="E1" s="78"/>
      <c r="F1" s="78"/>
      <c r="G1" s="78"/>
      <c r="H1" s="78"/>
      <c r="I1" s="78"/>
      <c r="J1" s="78"/>
      <c r="K1" s="78"/>
    </row>
    <row r="2" spans="1:11" ht="16.5" customHeight="1" thickBot="1" x14ac:dyDescent="0.3">
      <c r="A2" s="116" t="s">
        <v>189</v>
      </c>
      <c r="B2" s="115"/>
      <c r="E2" s="105" t="s">
        <v>163</v>
      </c>
      <c r="F2" s="104"/>
      <c r="G2" s="103"/>
      <c r="H2" s="78"/>
      <c r="I2" s="108" t="s">
        <v>162</v>
      </c>
      <c r="J2" s="104"/>
      <c r="K2" s="103"/>
    </row>
    <row r="3" spans="1:11" ht="16.5" thickBot="1" x14ac:dyDescent="0.3">
      <c r="A3" s="112" t="s">
        <v>188</v>
      </c>
      <c r="B3" s="124">
        <f>'[8]Q5 Information'!B3</f>
        <v>500000</v>
      </c>
      <c r="E3" s="105" t="s">
        <v>161</v>
      </c>
      <c r="F3" s="104"/>
      <c r="G3" s="103"/>
      <c r="H3" s="78"/>
      <c r="I3" s="105" t="s">
        <v>161</v>
      </c>
      <c r="J3" s="104"/>
      <c r="K3" s="103"/>
    </row>
    <row r="4" spans="1:11" ht="16.5" thickBot="1" x14ac:dyDescent="0.3">
      <c r="A4" s="112" t="s">
        <v>187</v>
      </c>
      <c r="B4" s="124">
        <f>'[8]Q5 Information'!B4</f>
        <v>12</v>
      </c>
      <c r="E4" s="108" t="s">
        <v>186</v>
      </c>
      <c r="F4" s="107"/>
      <c r="G4" s="106"/>
      <c r="H4" s="78"/>
      <c r="I4" s="105" t="s">
        <v>186</v>
      </c>
      <c r="J4" s="104"/>
      <c r="K4" s="103"/>
    </row>
    <row r="5" spans="1:11" ht="15.75" x14ac:dyDescent="0.25">
      <c r="A5" s="112" t="s">
        <v>185</v>
      </c>
      <c r="B5" s="124">
        <f>'[8]Q5 Information'!B5</f>
        <v>25</v>
      </c>
      <c r="E5" s="102"/>
      <c r="F5" s="102" t="s">
        <v>158</v>
      </c>
      <c r="G5" s="102" t="s">
        <v>157</v>
      </c>
      <c r="H5" s="78"/>
      <c r="I5" s="102"/>
      <c r="J5" s="102" t="s">
        <v>158</v>
      </c>
      <c r="K5" s="102" t="s">
        <v>157</v>
      </c>
    </row>
    <row r="6" spans="1:11" ht="15.75" x14ac:dyDescent="0.25">
      <c r="A6" s="112" t="s">
        <v>184</v>
      </c>
      <c r="B6" s="124"/>
      <c r="E6" s="91" t="s">
        <v>155</v>
      </c>
      <c r="F6" s="78"/>
      <c r="G6" s="100"/>
      <c r="H6" s="78"/>
      <c r="I6" s="91" t="s">
        <v>154</v>
      </c>
      <c r="J6" s="99"/>
      <c r="K6" s="98"/>
    </row>
    <row r="7" spans="1:11" ht="15.75" x14ac:dyDescent="0.25">
      <c r="A7" s="112" t="s">
        <v>182</v>
      </c>
      <c r="B7" s="125">
        <f>'[8]Q5 Information'!B7</f>
        <v>0.9</v>
      </c>
      <c r="E7" s="91" t="s">
        <v>152</v>
      </c>
      <c r="F7" s="78"/>
      <c r="G7" s="97"/>
      <c r="H7" s="78"/>
      <c r="I7" s="91" t="s">
        <v>151</v>
      </c>
      <c r="J7" s="96">
        <f>J15+J18</f>
        <v>1001.875</v>
      </c>
      <c r="K7" s="95">
        <f>K15+K18</f>
        <v>1239.25</v>
      </c>
    </row>
    <row r="8" spans="1:11" ht="15.75" x14ac:dyDescent="0.25">
      <c r="A8" s="112" t="s">
        <v>181</v>
      </c>
      <c r="B8" s="125">
        <f>'[8]Q5 Information'!B8</f>
        <v>7.4</v>
      </c>
      <c r="E8" s="91" t="s">
        <v>149</v>
      </c>
      <c r="F8" s="88">
        <f>B3*B4/1000+B5</f>
        <v>6025</v>
      </c>
      <c r="G8" s="82">
        <f>F9</f>
        <v>230.00000000000003</v>
      </c>
      <c r="H8" s="78"/>
      <c r="I8" s="90" t="s">
        <v>148</v>
      </c>
      <c r="J8" s="94">
        <f>J7</f>
        <v>1001.875</v>
      </c>
      <c r="K8" s="93">
        <f>K7</f>
        <v>1239.25</v>
      </c>
    </row>
    <row r="9" spans="1:11" ht="15.75" x14ac:dyDescent="0.25">
      <c r="A9" s="112" t="s">
        <v>183</v>
      </c>
      <c r="B9" s="124"/>
      <c r="E9" s="91" t="s">
        <v>147</v>
      </c>
      <c r="F9" s="123">
        <f>(B3-B15)*B17/1000+B22</f>
        <v>230.00000000000003</v>
      </c>
      <c r="G9" s="82">
        <v>0</v>
      </c>
      <c r="H9" s="78"/>
      <c r="I9" s="84"/>
      <c r="J9" s="88"/>
      <c r="K9" s="82"/>
    </row>
    <row r="10" spans="1:11" ht="15.75" x14ac:dyDescent="0.25">
      <c r="A10" s="112" t="s">
        <v>182</v>
      </c>
      <c r="B10" s="113">
        <f>'[8]Q5 Information'!B10</f>
        <v>0.85</v>
      </c>
      <c r="E10" s="91" t="s">
        <v>145</v>
      </c>
      <c r="F10" s="83">
        <f>F8-F9</f>
        <v>5795</v>
      </c>
      <c r="G10" s="82">
        <f>G8-G9</f>
        <v>230.00000000000003</v>
      </c>
      <c r="H10" s="78"/>
      <c r="I10" s="84" t="s">
        <v>144</v>
      </c>
      <c r="J10" s="88"/>
      <c r="K10" s="82"/>
    </row>
    <row r="11" spans="1:11" ht="15.75" x14ac:dyDescent="0.25">
      <c r="A11" s="112" t="s">
        <v>181</v>
      </c>
      <c r="B11" s="113">
        <f>'[8]Q5 Information'!B11</f>
        <v>0.08</v>
      </c>
      <c r="E11" s="91" t="s">
        <v>143</v>
      </c>
      <c r="F11" s="83"/>
      <c r="G11" s="82"/>
      <c r="H11" s="78"/>
      <c r="I11" s="84" t="s">
        <v>142</v>
      </c>
      <c r="J11" s="88"/>
      <c r="K11" s="82"/>
    </row>
    <row r="12" spans="1:11" ht="16.5" thickBot="1" x14ac:dyDescent="0.3">
      <c r="A12" s="112" t="s">
        <v>4</v>
      </c>
      <c r="B12" s="122">
        <f>'[8]Q5 Information'!B12</f>
        <v>2.5000000000000001E-2</v>
      </c>
      <c r="E12" s="91" t="s">
        <v>141</v>
      </c>
      <c r="F12" s="83">
        <f>B29*B30</f>
        <v>48</v>
      </c>
      <c r="G12" s="82">
        <f>B35*B36</f>
        <v>60</v>
      </c>
      <c r="H12" s="78"/>
      <c r="I12" s="84" t="s">
        <v>140</v>
      </c>
      <c r="J12" s="88">
        <f>F23</f>
        <v>450</v>
      </c>
      <c r="K12" s="82">
        <f>G23</f>
        <v>368</v>
      </c>
    </row>
    <row r="13" spans="1:11" ht="16.5" thickBot="1" x14ac:dyDescent="0.3">
      <c r="A13" s="118"/>
      <c r="B13" s="117"/>
      <c r="E13" s="91" t="s">
        <v>139</v>
      </c>
      <c r="F13" s="83">
        <v>0</v>
      </c>
      <c r="G13" s="82">
        <v>0</v>
      </c>
      <c r="H13" s="78"/>
      <c r="I13" s="84" t="s">
        <v>138</v>
      </c>
      <c r="J13" s="88">
        <f>F24</f>
        <v>368</v>
      </c>
      <c r="K13" s="82">
        <f>G24</f>
        <v>0</v>
      </c>
    </row>
    <row r="14" spans="1:11" ht="16.5" thickBot="1" x14ac:dyDescent="0.3">
      <c r="A14" s="116" t="s">
        <v>180</v>
      </c>
      <c r="B14" s="115"/>
      <c r="E14" s="91" t="s">
        <v>137</v>
      </c>
      <c r="F14" s="83">
        <f>F12+F13</f>
        <v>48</v>
      </c>
      <c r="G14" s="82">
        <f>G12+G13</f>
        <v>60</v>
      </c>
      <c r="H14" s="78"/>
      <c r="I14" s="84" t="s">
        <v>123</v>
      </c>
      <c r="J14" s="88">
        <f>J12-J13</f>
        <v>82</v>
      </c>
      <c r="K14" s="82">
        <f>K12-K13</f>
        <v>368</v>
      </c>
    </row>
    <row r="15" spans="1:11" ht="15.75" x14ac:dyDescent="0.25">
      <c r="A15" s="112" t="s">
        <v>179</v>
      </c>
      <c r="B15" s="114">
        <f>'[8]Q5 Information'!B15</f>
        <v>100000</v>
      </c>
      <c r="E15" s="91" t="s">
        <v>136</v>
      </c>
      <c r="F15" s="83">
        <f>B12*F9</f>
        <v>5.7500000000000009</v>
      </c>
      <c r="G15" s="82">
        <v>0</v>
      </c>
      <c r="H15" s="78"/>
      <c r="I15" s="85" t="s">
        <v>135</v>
      </c>
      <c r="J15" s="88">
        <f>J14</f>
        <v>82</v>
      </c>
      <c r="K15" s="82">
        <f>K14</f>
        <v>368</v>
      </c>
    </row>
    <row r="16" spans="1:11" ht="15.75" x14ac:dyDescent="0.25">
      <c r="A16" s="112" t="s">
        <v>178</v>
      </c>
      <c r="B16" s="111"/>
      <c r="E16" s="91" t="s">
        <v>134</v>
      </c>
      <c r="F16" s="83">
        <v>0</v>
      </c>
      <c r="G16" s="82">
        <v>0</v>
      </c>
      <c r="H16" s="78"/>
      <c r="I16" s="84"/>
      <c r="J16" s="88"/>
      <c r="K16" s="82"/>
    </row>
    <row r="17" spans="1:11" ht="15.75" x14ac:dyDescent="0.25">
      <c r="A17" s="112" t="s">
        <v>173</v>
      </c>
      <c r="B17" s="111">
        <f>'[8]Q5 Information'!B17</f>
        <v>0.55000000000000004</v>
      </c>
      <c r="E17" s="90" t="s">
        <v>133</v>
      </c>
      <c r="F17" s="83">
        <f>F10+F14+F15+F16</f>
        <v>5848.75</v>
      </c>
      <c r="G17" s="82">
        <f>G10+G14+G15+G16</f>
        <v>290</v>
      </c>
      <c r="H17" s="78"/>
      <c r="I17" s="84" t="s">
        <v>132</v>
      </c>
      <c r="J17" s="88">
        <f>B29+F36</f>
        <v>919.875</v>
      </c>
      <c r="K17" s="82">
        <f>B35+G36</f>
        <v>871.25</v>
      </c>
    </row>
    <row r="18" spans="1:11" ht="15.75" x14ac:dyDescent="0.25">
      <c r="A18" s="112" t="s">
        <v>172</v>
      </c>
      <c r="B18" s="111">
        <f>'[8]Q5 Information'!B18</f>
        <v>0.66</v>
      </c>
      <c r="E18" s="84"/>
      <c r="F18" s="89"/>
      <c r="G18" s="82"/>
      <c r="H18" s="78"/>
      <c r="I18" s="85" t="s">
        <v>131</v>
      </c>
      <c r="J18" s="88">
        <f>J17</f>
        <v>919.875</v>
      </c>
      <c r="K18" s="82">
        <f>K17</f>
        <v>871.25</v>
      </c>
    </row>
    <row r="19" spans="1:11" ht="15.75" x14ac:dyDescent="0.25">
      <c r="A19" s="112" t="s">
        <v>177</v>
      </c>
      <c r="B19" s="111"/>
      <c r="E19" s="86" t="s">
        <v>130</v>
      </c>
      <c r="F19" s="89"/>
      <c r="G19" s="82"/>
      <c r="H19" s="78"/>
      <c r="I19" s="84"/>
      <c r="J19" s="88"/>
      <c r="K19" s="82"/>
    </row>
    <row r="20" spans="1:11" ht="15.75" x14ac:dyDescent="0.25">
      <c r="A20" s="112" t="s">
        <v>173</v>
      </c>
      <c r="B20" s="111">
        <f>'[8]Q5 Information'!B20</f>
        <v>0.92</v>
      </c>
      <c r="E20" s="84" t="s">
        <v>129</v>
      </c>
      <c r="F20" s="83">
        <v>0</v>
      </c>
      <c r="G20" s="82">
        <v>0</v>
      </c>
      <c r="H20" s="78"/>
      <c r="I20" s="81" t="s">
        <v>128</v>
      </c>
      <c r="J20" s="87">
        <f>J15+J18</f>
        <v>1001.875</v>
      </c>
      <c r="K20" s="79">
        <f>K15+K18</f>
        <v>1239.25</v>
      </c>
    </row>
    <row r="21" spans="1:11" ht="15.75" x14ac:dyDescent="0.25">
      <c r="A21" s="112" t="s">
        <v>172</v>
      </c>
      <c r="B21" s="111">
        <f>'[8]Q5 Information'!B21</f>
        <v>0.98</v>
      </c>
      <c r="E21" s="84" t="s">
        <v>127</v>
      </c>
      <c r="F21" s="83">
        <v>0</v>
      </c>
      <c r="G21" s="82">
        <v>0</v>
      </c>
      <c r="H21" s="78"/>
      <c r="I21" s="78"/>
      <c r="J21" s="78"/>
      <c r="K21" s="78"/>
    </row>
    <row r="22" spans="1:11" ht="15.75" x14ac:dyDescent="0.25">
      <c r="A22" s="121" t="s">
        <v>176</v>
      </c>
      <c r="B22" s="120">
        <f>'[8]Q5 Information'!B22</f>
        <v>10</v>
      </c>
      <c r="E22" s="84" t="s">
        <v>126</v>
      </c>
      <c r="F22" s="83"/>
      <c r="G22" s="82"/>
      <c r="H22" s="78"/>
      <c r="I22" s="78"/>
      <c r="J22" s="78"/>
      <c r="K22" s="78"/>
    </row>
    <row r="23" spans="1:11" ht="15.75" x14ac:dyDescent="0.25">
      <c r="A23" s="112" t="s">
        <v>175</v>
      </c>
      <c r="B23" s="113">
        <f>'[8]Q5 Information'!B23</f>
        <v>0.75</v>
      </c>
      <c r="E23" s="84" t="s">
        <v>125</v>
      </c>
      <c r="F23" s="83">
        <f>B3*B7/1000</f>
        <v>450</v>
      </c>
      <c r="G23" s="82">
        <f>F24</f>
        <v>368</v>
      </c>
      <c r="H23" s="78"/>
      <c r="I23" s="78"/>
      <c r="J23" s="78"/>
      <c r="K23" s="78"/>
    </row>
    <row r="24" spans="1:11" ht="15.75" x14ac:dyDescent="0.25">
      <c r="A24" s="112" t="s">
        <v>174</v>
      </c>
      <c r="B24" s="119"/>
      <c r="E24" s="84" t="s">
        <v>124</v>
      </c>
      <c r="F24" s="83">
        <f>(B3-B15)*B20/1000</f>
        <v>368</v>
      </c>
      <c r="G24" s="82">
        <v>0</v>
      </c>
      <c r="H24" s="78"/>
      <c r="I24" s="78"/>
      <c r="J24" s="78"/>
      <c r="K24" s="78"/>
    </row>
    <row r="25" spans="1:11" ht="15.75" x14ac:dyDescent="0.25">
      <c r="A25" s="112" t="s">
        <v>173</v>
      </c>
      <c r="B25" s="113">
        <f>'[8]Q5 Information'!B25</f>
        <v>0.95</v>
      </c>
      <c r="E25" s="84" t="s">
        <v>123</v>
      </c>
      <c r="F25" s="83">
        <f>F23-F24</f>
        <v>82</v>
      </c>
      <c r="G25" s="82">
        <f>G23-G24</f>
        <v>368</v>
      </c>
      <c r="H25" s="78"/>
      <c r="I25" s="78"/>
      <c r="J25" s="78"/>
      <c r="K25" s="78"/>
    </row>
    <row r="26" spans="1:11" ht="15.75" x14ac:dyDescent="0.25">
      <c r="A26" s="112" t="s">
        <v>172</v>
      </c>
      <c r="B26" s="113">
        <f>'[8]Q5 Information'!B26</f>
        <v>0.1</v>
      </c>
      <c r="E26" s="84" t="s">
        <v>122</v>
      </c>
      <c r="F26" s="83">
        <v>0</v>
      </c>
      <c r="G26" s="82">
        <v>0</v>
      </c>
      <c r="H26" s="78"/>
      <c r="I26" s="78"/>
      <c r="J26" s="78"/>
      <c r="K26" s="78"/>
    </row>
    <row r="27" spans="1:11" ht="16.5" thickBot="1" x14ac:dyDescent="0.3">
      <c r="A27" s="110"/>
      <c r="B27" s="109"/>
      <c r="E27" s="85" t="s">
        <v>121</v>
      </c>
      <c r="F27" s="83">
        <f>F25+F26</f>
        <v>82</v>
      </c>
      <c r="G27" s="82">
        <f>G25+G26</f>
        <v>368</v>
      </c>
      <c r="H27" s="78"/>
      <c r="I27" s="78"/>
      <c r="J27" s="78"/>
      <c r="K27" s="78"/>
    </row>
    <row r="28" spans="1:11" ht="16.5" thickBot="1" x14ac:dyDescent="0.3">
      <c r="A28" s="116" t="s">
        <v>171</v>
      </c>
      <c r="B28" s="115"/>
      <c r="E28" s="84"/>
      <c r="F28" s="83"/>
      <c r="G28" s="82"/>
      <c r="H28" s="78"/>
      <c r="I28" s="78"/>
      <c r="J28" s="78"/>
      <c r="K28" s="78"/>
    </row>
    <row r="29" spans="1:11" ht="15.75" x14ac:dyDescent="0.25">
      <c r="A29" s="112" t="s">
        <v>167</v>
      </c>
      <c r="B29" s="111">
        <f>'[8]Q5 Information'!B29</f>
        <v>800</v>
      </c>
      <c r="E29" s="86" t="s">
        <v>120</v>
      </c>
      <c r="F29" s="83"/>
      <c r="G29" s="82"/>
      <c r="H29" s="78"/>
      <c r="I29" s="78"/>
      <c r="J29" s="78"/>
      <c r="K29" s="78"/>
    </row>
    <row r="30" spans="1:11" ht="15.75" x14ac:dyDescent="0.25">
      <c r="A30" s="112" t="s">
        <v>166</v>
      </c>
      <c r="B30" s="113">
        <f>'[8]Q5 Information'!B30</f>
        <v>0.06</v>
      </c>
      <c r="E30" s="84" t="s">
        <v>119</v>
      </c>
      <c r="F30" s="83">
        <f>B10*(B3*B4/1000+B5)</f>
        <v>5121.25</v>
      </c>
      <c r="G30" s="82"/>
      <c r="H30" s="78"/>
      <c r="I30" s="78"/>
      <c r="J30" s="78"/>
      <c r="K30" s="78"/>
    </row>
    <row r="31" spans="1:11" ht="31.5" x14ac:dyDescent="0.25">
      <c r="A31" s="112" t="s">
        <v>170</v>
      </c>
      <c r="B31" s="111">
        <f>'[8]Q5 Information'!B31</f>
        <v>350</v>
      </c>
      <c r="E31" s="84" t="s">
        <v>118</v>
      </c>
      <c r="F31" s="83">
        <f>B31</f>
        <v>350</v>
      </c>
      <c r="G31" s="82">
        <f>B37</f>
        <v>30</v>
      </c>
      <c r="H31" s="78"/>
      <c r="I31" s="78"/>
      <c r="J31" s="78"/>
      <c r="K31" s="78"/>
    </row>
    <row r="32" spans="1:11" ht="32.25" thickBot="1" x14ac:dyDescent="0.3">
      <c r="A32" s="110" t="s">
        <v>169</v>
      </c>
      <c r="B32" s="111">
        <f>'[8]Q5 Information'!B32</f>
        <v>25</v>
      </c>
      <c r="E32" s="84" t="s">
        <v>117</v>
      </c>
      <c r="F32" s="83">
        <f>B32</f>
        <v>25</v>
      </c>
      <c r="G32" s="82">
        <f>B38</f>
        <v>15</v>
      </c>
      <c r="H32" s="78"/>
      <c r="I32" s="78"/>
      <c r="J32" s="78"/>
      <c r="K32" s="78"/>
    </row>
    <row r="33" spans="1:11" ht="16.5" thickBot="1" x14ac:dyDescent="0.3">
      <c r="A33" s="118"/>
      <c r="B33" s="117"/>
      <c r="E33" s="84" t="s">
        <v>116</v>
      </c>
      <c r="F33" s="83">
        <f>B12*(B3*B4/1000+B5)</f>
        <v>150.625</v>
      </c>
      <c r="G33" s="82">
        <f>F15</f>
        <v>5.7500000000000009</v>
      </c>
      <c r="H33" s="78"/>
      <c r="I33" s="78"/>
      <c r="J33" s="78"/>
      <c r="K33" s="78"/>
    </row>
    <row r="34" spans="1:11" ht="16.5" thickBot="1" x14ac:dyDescent="0.3">
      <c r="A34" s="116" t="s">
        <v>168</v>
      </c>
      <c r="B34" s="115"/>
      <c r="E34" s="85" t="s">
        <v>115</v>
      </c>
      <c r="F34" s="83">
        <f>SUM(F30:F33)</f>
        <v>5646.875</v>
      </c>
      <c r="G34" s="82">
        <f>SUM(G30:G33)</f>
        <v>50.75</v>
      </c>
      <c r="H34" s="78"/>
      <c r="I34" s="78"/>
      <c r="J34" s="78"/>
      <c r="K34" s="78"/>
    </row>
    <row r="35" spans="1:11" ht="15.75" x14ac:dyDescent="0.25">
      <c r="A35" s="112" t="s">
        <v>167</v>
      </c>
      <c r="B35" s="114">
        <f>'[8]Q5 Information'!B35</f>
        <v>1000</v>
      </c>
      <c r="E35" s="84"/>
      <c r="F35" s="83"/>
      <c r="G35" s="82"/>
      <c r="H35" s="78"/>
      <c r="I35" s="78"/>
      <c r="J35" s="78"/>
      <c r="K35" s="78"/>
    </row>
    <row r="36" spans="1:11" ht="15.75" x14ac:dyDescent="0.25">
      <c r="A36" s="112" t="s">
        <v>166</v>
      </c>
      <c r="B36" s="113">
        <f>'[8]Q5 Information'!B36</f>
        <v>0.06</v>
      </c>
      <c r="E36" s="81" t="s">
        <v>114</v>
      </c>
      <c r="F36" s="80">
        <f>F17-F27-F34</f>
        <v>119.875</v>
      </c>
      <c r="G36" s="79">
        <f>G17-G27-G34</f>
        <v>-128.75</v>
      </c>
      <c r="H36" s="78"/>
      <c r="I36" s="78"/>
      <c r="J36" s="78"/>
      <c r="K36" s="78"/>
    </row>
    <row r="37" spans="1:11" ht="15.75" x14ac:dyDescent="0.25">
      <c r="A37" s="112" t="s">
        <v>165</v>
      </c>
      <c r="B37" s="111">
        <f>'[8]Q5 Information'!B37</f>
        <v>30</v>
      </c>
      <c r="E37" s="78"/>
      <c r="F37" s="78"/>
      <c r="G37" s="78"/>
      <c r="H37" s="78"/>
      <c r="I37" s="78"/>
      <c r="J37" s="78"/>
      <c r="K37" s="78"/>
    </row>
    <row r="38" spans="1:11" ht="16.5" thickBot="1" x14ac:dyDescent="0.3">
      <c r="A38" s="110" t="s">
        <v>164</v>
      </c>
      <c r="B38" s="109">
        <f>'[8]Q5 Information'!B38</f>
        <v>15</v>
      </c>
      <c r="E38" s="78"/>
      <c r="F38" s="78"/>
      <c r="G38" s="78"/>
      <c r="H38" s="78"/>
      <c r="I38" s="78"/>
      <c r="J38" s="78"/>
      <c r="K38" s="78"/>
    </row>
    <row r="39" spans="1:11" ht="15.75" thickBot="1" x14ac:dyDescent="0.3">
      <c r="E39" s="105" t="s">
        <v>163</v>
      </c>
      <c r="F39" s="104"/>
      <c r="G39" s="103"/>
      <c r="H39" s="78"/>
      <c r="I39" s="108" t="s">
        <v>162</v>
      </c>
      <c r="J39" s="104"/>
      <c r="K39" s="103"/>
    </row>
    <row r="40" spans="1:11" ht="15.75" thickBot="1" x14ac:dyDescent="0.3">
      <c r="E40" s="105" t="s">
        <v>161</v>
      </c>
      <c r="F40" s="104"/>
      <c r="G40" s="103"/>
      <c r="H40" s="78"/>
      <c r="I40" s="105" t="s">
        <v>161</v>
      </c>
      <c r="J40" s="104"/>
      <c r="K40" s="103"/>
    </row>
    <row r="41" spans="1:11" ht="15.75" thickBot="1" x14ac:dyDescent="0.3">
      <c r="E41" s="108" t="s">
        <v>160</v>
      </c>
      <c r="F41" s="107"/>
      <c r="G41" s="106"/>
      <c r="H41" s="78"/>
      <c r="I41" s="105" t="s">
        <v>160</v>
      </c>
      <c r="J41" s="104"/>
      <c r="K41" s="103"/>
    </row>
    <row r="42" spans="1:11" x14ac:dyDescent="0.25">
      <c r="A42" t="s">
        <v>159</v>
      </c>
      <c r="B42" s="92">
        <f>B3</f>
        <v>500000</v>
      </c>
      <c r="E42" s="102"/>
      <c r="F42" s="102" t="s">
        <v>158</v>
      </c>
      <c r="G42" s="102" t="s">
        <v>157</v>
      </c>
      <c r="H42" s="78"/>
      <c r="I42" s="101"/>
      <c r="J42" s="101" t="s">
        <v>158</v>
      </c>
      <c r="K42" s="101" t="s">
        <v>157</v>
      </c>
    </row>
    <row r="43" spans="1:11" x14ac:dyDescent="0.25">
      <c r="A43" t="s">
        <v>156</v>
      </c>
      <c r="B43" s="92">
        <f>F23+F60</f>
        <v>3700</v>
      </c>
      <c r="E43" s="91" t="s">
        <v>155</v>
      </c>
      <c r="F43" s="78"/>
      <c r="G43" s="100"/>
      <c r="H43" s="78"/>
      <c r="I43" s="91" t="s">
        <v>154</v>
      </c>
      <c r="J43" s="99"/>
      <c r="K43" s="98"/>
    </row>
    <row r="44" spans="1:11" x14ac:dyDescent="0.25">
      <c r="A44" t="s">
        <v>153</v>
      </c>
      <c r="B44" s="92">
        <f>B42-B43</f>
        <v>496300</v>
      </c>
      <c r="E44" s="91" t="s">
        <v>152</v>
      </c>
      <c r="F44" s="78"/>
      <c r="G44" s="97"/>
      <c r="H44" s="78"/>
      <c r="I44" s="91" t="s">
        <v>151</v>
      </c>
      <c r="J44" s="96">
        <f>J52+J55</f>
        <v>6164.0142999999998</v>
      </c>
      <c r="K44" s="95">
        <f>K52+K55</f>
        <v>1563.9531999999999</v>
      </c>
    </row>
    <row r="45" spans="1:11" x14ac:dyDescent="0.25">
      <c r="A45" t="s">
        <v>150</v>
      </c>
      <c r="B45" s="92">
        <f>ROUND(B44/B42*1000,0)</f>
        <v>993</v>
      </c>
      <c r="E45" s="91" t="s">
        <v>149</v>
      </c>
      <c r="F45" s="88">
        <f>B3*B4/1000+B5</f>
        <v>6025</v>
      </c>
      <c r="G45" s="82">
        <f>F46</f>
        <v>272.15199999999999</v>
      </c>
      <c r="H45" s="78"/>
      <c r="I45" s="90" t="s">
        <v>148</v>
      </c>
      <c r="J45" s="94">
        <f>J44</f>
        <v>6164.0142999999998</v>
      </c>
      <c r="K45" s="93">
        <f>K44</f>
        <v>1563.9531999999999</v>
      </c>
    </row>
    <row r="46" spans="1:11" x14ac:dyDescent="0.25">
      <c r="B46" s="92"/>
      <c r="E46" s="91" t="s">
        <v>147</v>
      </c>
      <c r="F46" s="83">
        <f>(B47)*B18/1000+B22</f>
        <v>272.15199999999999</v>
      </c>
      <c r="G46" s="82">
        <v>0</v>
      </c>
      <c r="H46" s="78"/>
      <c r="I46" s="84"/>
      <c r="J46" s="88"/>
      <c r="K46" s="82"/>
    </row>
    <row r="47" spans="1:11" x14ac:dyDescent="0.25">
      <c r="A47" t="s">
        <v>146</v>
      </c>
      <c r="B47" s="92">
        <f>B45*(B3-B15)/1000</f>
        <v>397200</v>
      </c>
      <c r="E47" s="91" t="s">
        <v>145</v>
      </c>
      <c r="F47" s="83">
        <f>F45-F46</f>
        <v>5752.848</v>
      </c>
      <c r="G47" s="82">
        <f>G45-G46</f>
        <v>272.15199999999999</v>
      </c>
      <c r="H47" s="78"/>
      <c r="I47" s="84" t="s">
        <v>144</v>
      </c>
      <c r="J47" s="88"/>
      <c r="K47" s="82"/>
    </row>
    <row r="48" spans="1:11" x14ac:dyDescent="0.25">
      <c r="E48" s="91" t="s">
        <v>143</v>
      </c>
      <c r="F48" s="83"/>
      <c r="G48" s="82"/>
      <c r="H48" s="78"/>
      <c r="I48" s="84" t="s">
        <v>142</v>
      </c>
      <c r="J48" s="88"/>
      <c r="K48" s="82"/>
    </row>
    <row r="49" spans="5:11" x14ac:dyDescent="0.25">
      <c r="E49" s="91" t="s">
        <v>141</v>
      </c>
      <c r="F49" s="83">
        <f>J18*B30</f>
        <v>55.192499999999995</v>
      </c>
      <c r="G49" s="82">
        <f>B36*K18</f>
        <v>52.274999999999999</v>
      </c>
      <c r="H49" s="78"/>
      <c r="I49" s="84" t="s">
        <v>140</v>
      </c>
      <c r="J49" s="88">
        <f>F60+J12</f>
        <v>3700</v>
      </c>
      <c r="K49" s="82">
        <f>G60+G23</f>
        <v>389.25599999999997</v>
      </c>
    </row>
    <row r="50" spans="5:11" x14ac:dyDescent="0.25">
      <c r="E50" s="91" t="s">
        <v>139</v>
      </c>
      <c r="F50" s="83">
        <f>J15*B30</f>
        <v>4.92</v>
      </c>
      <c r="G50" s="82">
        <f>B36*K15</f>
        <v>22.08</v>
      </c>
      <c r="H50" s="78"/>
      <c r="I50" s="84" t="s">
        <v>138</v>
      </c>
      <c r="J50" s="88">
        <f>F61+F24</f>
        <v>389.25599999999997</v>
      </c>
      <c r="K50" s="82">
        <v>0</v>
      </c>
    </row>
    <row r="51" spans="5:11" x14ac:dyDescent="0.25">
      <c r="E51" s="91" t="s">
        <v>137</v>
      </c>
      <c r="F51" s="83">
        <f>F49+F50</f>
        <v>60.112499999999997</v>
      </c>
      <c r="G51" s="82">
        <f>G49+G50</f>
        <v>74.35499999999999</v>
      </c>
      <c r="H51" s="78"/>
      <c r="I51" s="84" t="s">
        <v>123</v>
      </c>
      <c r="J51" s="88">
        <f>J49-J50</f>
        <v>3310.7440000000001</v>
      </c>
      <c r="K51" s="82">
        <f>K49-K50</f>
        <v>389.25599999999997</v>
      </c>
    </row>
    <row r="52" spans="5:11" x14ac:dyDescent="0.25">
      <c r="E52" s="91" t="s">
        <v>136</v>
      </c>
      <c r="F52" s="83">
        <f>F46*B12</f>
        <v>6.8037999999999998</v>
      </c>
      <c r="G52" s="82">
        <v>0</v>
      </c>
      <c r="H52" s="78"/>
      <c r="I52" s="85" t="s">
        <v>135</v>
      </c>
      <c r="J52" s="88">
        <f>J51</f>
        <v>3310.7440000000001</v>
      </c>
      <c r="K52" s="82">
        <f>K51</f>
        <v>389.25599999999997</v>
      </c>
    </row>
    <row r="53" spans="5:11" x14ac:dyDescent="0.25">
      <c r="E53" s="91" t="s">
        <v>134</v>
      </c>
      <c r="F53" s="83">
        <v>0</v>
      </c>
      <c r="G53" s="82">
        <v>0</v>
      </c>
      <c r="H53" s="78"/>
      <c r="I53" s="84"/>
      <c r="J53" s="88"/>
      <c r="K53" s="82"/>
    </row>
    <row r="54" spans="5:11" x14ac:dyDescent="0.25">
      <c r="E54" s="90" t="s">
        <v>133</v>
      </c>
      <c r="F54" s="83">
        <f>F47+F51+F52+F53</f>
        <v>5819.7642999999998</v>
      </c>
      <c r="G54" s="82">
        <f>G47+G51+G52+G53</f>
        <v>346.50699999999995</v>
      </c>
      <c r="H54" s="78"/>
      <c r="I54" s="84" t="s">
        <v>132</v>
      </c>
      <c r="J54" s="88">
        <f>J18+F73</f>
        <v>2853.2702999999997</v>
      </c>
      <c r="K54" s="82">
        <f>G73+K18</f>
        <v>1174.6972000000001</v>
      </c>
    </row>
    <row r="55" spans="5:11" x14ac:dyDescent="0.25">
      <c r="E55" s="84"/>
      <c r="F55" s="89"/>
      <c r="G55" s="82"/>
      <c r="H55" s="78"/>
      <c r="I55" s="85" t="s">
        <v>131</v>
      </c>
      <c r="J55" s="88">
        <f>J54</f>
        <v>2853.2702999999997</v>
      </c>
      <c r="K55" s="82">
        <f>K54</f>
        <v>1174.6972000000001</v>
      </c>
    </row>
    <row r="56" spans="5:11" x14ac:dyDescent="0.25">
      <c r="E56" s="86" t="s">
        <v>130</v>
      </c>
      <c r="F56" s="89"/>
      <c r="G56" s="82"/>
      <c r="H56" s="78"/>
      <c r="I56" s="84"/>
      <c r="J56" s="88"/>
      <c r="K56" s="82"/>
    </row>
    <row r="57" spans="5:11" x14ac:dyDescent="0.25">
      <c r="E57" s="84" t="s">
        <v>129</v>
      </c>
      <c r="F57" s="83">
        <v>0</v>
      </c>
      <c r="G57" s="82">
        <v>0</v>
      </c>
      <c r="H57" s="78"/>
      <c r="I57" s="81" t="s">
        <v>128</v>
      </c>
      <c r="J57" s="87">
        <f>J52+J55</f>
        <v>6164.0142999999998</v>
      </c>
      <c r="K57" s="79">
        <f>K52+K55</f>
        <v>1563.9531999999999</v>
      </c>
    </row>
    <row r="58" spans="5:11" x14ac:dyDescent="0.25">
      <c r="E58" s="84" t="s">
        <v>127</v>
      </c>
      <c r="F58" s="83">
        <v>0</v>
      </c>
      <c r="G58" s="82">
        <v>0</v>
      </c>
      <c r="H58" s="78"/>
      <c r="I58" s="78"/>
      <c r="J58" s="78"/>
      <c r="K58" s="78"/>
    </row>
    <row r="59" spans="5:11" x14ac:dyDescent="0.25">
      <c r="E59" s="84" t="s">
        <v>126</v>
      </c>
      <c r="F59" s="83"/>
      <c r="G59" s="82"/>
      <c r="H59" s="78"/>
      <c r="I59" s="78"/>
      <c r="J59" s="78"/>
      <c r="K59" s="78"/>
    </row>
    <row r="60" spans="5:11" x14ac:dyDescent="0.25">
      <c r="E60" s="84" t="s">
        <v>125</v>
      </c>
      <c r="F60" s="83">
        <f>B3*B8/1000-F23</f>
        <v>3250</v>
      </c>
      <c r="G60" s="82">
        <f>F61</f>
        <v>21.255999999999972</v>
      </c>
      <c r="H60" s="78"/>
      <c r="I60" s="78"/>
      <c r="J60" s="78"/>
      <c r="K60" s="78"/>
    </row>
    <row r="61" spans="5:11" x14ac:dyDescent="0.25">
      <c r="E61" s="84" t="s">
        <v>124</v>
      </c>
      <c r="F61" s="83">
        <f>B47*B21/1000-F24</f>
        <v>21.255999999999972</v>
      </c>
      <c r="G61" s="82">
        <v>0</v>
      </c>
      <c r="H61" s="78"/>
      <c r="I61" s="78"/>
      <c r="J61" s="78"/>
      <c r="K61" s="78"/>
    </row>
    <row r="62" spans="5:11" x14ac:dyDescent="0.25">
      <c r="E62" s="84" t="s">
        <v>123</v>
      </c>
      <c r="F62" s="83">
        <f>F60-F61</f>
        <v>3228.7440000000001</v>
      </c>
      <c r="G62" s="82">
        <f>G60-G61</f>
        <v>21.255999999999972</v>
      </c>
      <c r="H62" s="78"/>
      <c r="I62" s="78"/>
      <c r="J62" s="78"/>
      <c r="K62" s="78"/>
    </row>
    <row r="63" spans="5:11" x14ac:dyDescent="0.25">
      <c r="E63" s="84" t="s">
        <v>122</v>
      </c>
      <c r="F63" s="83">
        <v>0</v>
      </c>
      <c r="G63" s="82">
        <v>0</v>
      </c>
      <c r="H63" s="78"/>
      <c r="I63" s="78"/>
      <c r="J63" s="78"/>
      <c r="K63" s="78"/>
    </row>
    <row r="64" spans="5:11" x14ac:dyDescent="0.25">
      <c r="E64" s="85" t="s">
        <v>121</v>
      </c>
      <c r="F64" s="83">
        <f>F62+F63</f>
        <v>3228.7440000000001</v>
      </c>
      <c r="G64" s="82">
        <f>G62+G63</f>
        <v>21.255999999999972</v>
      </c>
      <c r="H64" s="78"/>
      <c r="I64" s="78"/>
      <c r="J64" s="78"/>
      <c r="K64" s="78"/>
    </row>
    <row r="65" spans="5:11" x14ac:dyDescent="0.25">
      <c r="E65" s="84"/>
      <c r="F65" s="83"/>
      <c r="G65" s="82"/>
      <c r="H65" s="78"/>
      <c r="I65" s="78"/>
      <c r="J65" s="78"/>
      <c r="K65" s="78"/>
    </row>
    <row r="66" spans="5:11" x14ac:dyDescent="0.25">
      <c r="E66" s="86" t="s">
        <v>120</v>
      </c>
      <c r="F66" s="83"/>
      <c r="G66" s="82"/>
      <c r="H66" s="78"/>
      <c r="I66" s="78"/>
      <c r="J66" s="78"/>
      <c r="K66" s="78"/>
    </row>
    <row r="67" spans="5:11" x14ac:dyDescent="0.25">
      <c r="E67" s="84" t="s">
        <v>119</v>
      </c>
      <c r="F67" s="83">
        <f>B11*(B3*B4/1000+B5)</f>
        <v>482</v>
      </c>
      <c r="G67" s="82">
        <v>0</v>
      </c>
      <c r="H67" s="78"/>
      <c r="I67" s="78"/>
      <c r="J67" s="78"/>
      <c r="K67" s="78"/>
    </row>
    <row r="68" spans="5:11" x14ac:dyDescent="0.25">
      <c r="E68" s="84" t="s">
        <v>118</v>
      </c>
      <c r="F68" s="83">
        <v>0</v>
      </c>
      <c r="G68" s="82">
        <v>0</v>
      </c>
      <c r="H68" s="78"/>
      <c r="I68" s="78"/>
      <c r="J68" s="78"/>
      <c r="K68" s="78"/>
    </row>
    <row r="69" spans="5:11" x14ac:dyDescent="0.25">
      <c r="E69" s="84" t="s">
        <v>117</v>
      </c>
      <c r="F69" s="83">
        <f>B32</f>
        <v>25</v>
      </c>
      <c r="G69" s="82">
        <f>B38</f>
        <v>15</v>
      </c>
      <c r="H69" s="78"/>
      <c r="I69" s="78"/>
      <c r="J69" s="78"/>
      <c r="K69" s="78"/>
    </row>
    <row r="70" spans="5:11" x14ac:dyDescent="0.25">
      <c r="E70" s="84" t="s">
        <v>116</v>
      </c>
      <c r="F70" s="83">
        <f>B12*(B3*B4/1000+B5)</f>
        <v>150.625</v>
      </c>
      <c r="G70" s="82">
        <f>G45*B12</f>
        <v>6.8037999999999998</v>
      </c>
      <c r="H70" s="78"/>
      <c r="I70" s="78"/>
      <c r="J70" s="78"/>
      <c r="K70" s="78"/>
    </row>
    <row r="71" spans="5:11" x14ac:dyDescent="0.25">
      <c r="E71" s="85" t="s">
        <v>115</v>
      </c>
      <c r="F71" s="83">
        <f>SUM(F67:F70)</f>
        <v>657.625</v>
      </c>
      <c r="G71" s="82">
        <f>SUM(G67:G70)</f>
        <v>21.803799999999999</v>
      </c>
      <c r="H71" s="78"/>
      <c r="I71" s="78"/>
      <c r="J71" s="78"/>
      <c r="K71" s="78"/>
    </row>
    <row r="72" spans="5:11" x14ac:dyDescent="0.25">
      <c r="E72" s="84"/>
      <c r="F72" s="83"/>
      <c r="G72" s="82"/>
      <c r="H72" s="78"/>
      <c r="I72" s="78"/>
      <c r="J72" s="78"/>
      <c r="K72" s="78"/>
    </row>
    <row r="73" spans="5:11" x14ac:dyDescent="0.25">
      <c r="E73" s="81" t="s">
        <v>114</v>
      </c>
      <c r="F73" s="80">
        <f>F54-F64-F71</f>
        <v>1933.3952999999997</v>
      </c>
      <c r="G73" s="79">
        <f>G54-G64-G71</f>
        <v>303.44719999999995</v>
      </c>
      <c r="H73" s="78"/>
      <c r="I73" s="78"/>
      <c r="J73" s="78"/>
      <c r="K73" s="78"/>
    </row>
    <row r="74" spans="5:11" x14ac:dyDescent="0.25">
      <c r="E74" s="78"/>
      <c r="F74" s="78"/>
      <c r="G74" s="78"/>
      <c r="H74" s="78"/>
      <c r="I74" s="78"/>
      <c r="J74" s="78"/>
      <c r="K74" s="78"/>
    </row>
  </sheetData>
  <mergeCells count="18">
    <mergeCell ref="E40:G40"/>
    <mergeCell ref="I40:K40"/>
    <mergeCell ref="E41:G41"/>
    <mergeCell ref="I41:K41"/>
    <mergeCell ref="E39:G39"/>
    <mergeCell ref="A13:B13"/>
    <mergeCell ref="A14:B14"/>
    <mergeCell ref="A28:B28"/>
    <mergeCell ref="A33:B33"/>
    <mergeCell ref="A34:B34"/>
    <mergeCell ref="I39:K39"/>
    <mergeCell ref="E4:G4"/>
    <mergeCell ref="I4:K4"/>
    <mergeCell ref="A2:B2"/>
    <mergeCell ref="E2:G2"/>
    <mergeCell ref="I2:K2"/>
    <mergeCell ref="E3:G3"/>
    <mergeCell ref="I3:K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C866A-837D-474B-88F5-D81DF3A38B22}">
  <dimension ref="A1:K73"/>
  <sheetViews>
    <sheetView workbookViewId="0"/>
  </sheetViews>
  <sheetFormatPr defaultColWidth="8.85546875" defaultRowHeight="15" x14ac:dyDescent="0.25"/>
  <cols>
    <col min="1" max="1" width="36.42578125" customWidth="1"/>
    <col min="2" max="2" width="26.85546875" customWidth="1"/>
    <col min="5" max="5" width="30.28515625" customWidth="1"/>
    <col min="6" max="6" width="28.140625" customWidth="1"/>
    <col min="7" max="7" width="24.42578125" customWidth="1"/>
    <col min="9" max="9" width="30.28515625" customWidth="1"/>
    <col min="10" max="10" width="28.140625" customWidth="1"/>
    <col min="11" max="11" width="24.42578125" customWidth="1"/>
  </cols>
  <sheetData>
    <row r="1" spans="1:11" ht="15.75" thickBot="1" x14ac:dyDescent="0.3"/>
    <row r="2" spans="1:11" ht="16.5" customHeight="1" thickBot="1" x14ac:dyDescent="0.3">
      <c r="A2" s="116" t="s">
        <v>189</v>
      </c>
      <c r="B2" s="115"/>
      <c r="E2" s="139" t="s">
        <v>163</v>
      </c>
      <c r="F2" s="138"/>
      <c r="G2" s="137"/>
      <c r="I2" s="142" t="s">
        <v>162</v>
      </c>
      <c r="J2" s="138"/>
      <c r="K2" s="137"/>
    </row>
    <row r="3" spans="1:11" ht="16.5" thickBot="1" x14ac:dyDescent="0.3">
      <c r="A3" s="112" t="s">
        <v>188</v>
      </c>
      <c r="B3" s="124">
        <f>'[8]Q5 Information'!B3</f>
        <v>500000</v>
      </c>
      <c r="E3" s="139" t="s">
        <v>190</v>
      </c>
      <c r="F3" s="138"/>
      <c r="G3" s="137"/>
      <c r="I3" s="139" t="s">
        <v>190</v>
      </c>
      <c r="J3" s="138"/>
      <c r="K3" s="137"/>
    </row>
    <row r="4" spans="1:11" ht="16.5" thickBot="1" x14ac:dyDescent="0.3">
      <c r="A4" s="112" t="s">
        <v>187</v>
      </c>
      <c r="B4" s="124">
        <f>'[8]Q5 Information'!B4</f>
        <v>12</v>
      </c>
      <c r="E4" s="142" t="s">
        <v>186</v>
      </c>
      <c r="F4" s="141"/>
      <c r="G4" s="140"/>
      <c r="I4" s="139" t="s">
        <v>186</v>
      </c>
      <c r="J4" s="138"/>
      <c r="K4" s="137"/>
    </row>
    <row r="5" spans="1:11" ht="15.75" x14ac:dyDescent="0.25">
      <c r="A5" s="112" t="s">
        <v>185</v>
      </c>
      <c r="B5" s="124">
        <f>'[8]Q5 Information'!B5</f>
        <v>25</v>
      </c>
      <c r="E5" s="136"/>
      <c r="F5" s="136" t="s">
        <v>158</v>
      </c>
      <c r="G5" s="136" t="s">
        <v>157</v>
      </c>
      <c r="I5" s="136"/>
      <c r="J5" s="136" t="s">
        <v>158</v>
      </c>
      <c r="K5" s="136" t="s">
        <v>157</v>
      </c>
    </row>
    <row r="6" spans="1:11" ht="15.75" x14ac:dyDescent="0.25">
      <c r="A6" s="112" t="s">
        <v>184</v>
      </c>
      <c r="B6" s="124"/>
      <c r="E6" s="133" t="s">
        <v>155</v>
      </c>
      <c r="G6" s="135"/>
      <c r="I6" s="91" t="s">
        <v>154</v>
      </c>
      <c r="J6" s="99"/>
      <c r="K6" s="98"/>
    </row>
    <row r="7" spans="1:11" ht="15.75" x14ac:dyDescent="0.25">
      <c r="A7" s="112" t="s">
        <v>182</v>
      </c>
      <c r="B7" s="125">
        <f>'[8]Q5 Information'!B7</f>
        <v>0.9</v>
      </c>
      <c r="E7" s="133" t="s">
        <v>152</v>
      </c>
      <c r="G7" s="134"/>
      <c r="I7" s="91" t="s">
        <v>151</v>
      </c>
      <c r="J7" s="96">
        <f>J15+J18</f>
        <v>1113.625</v>
      </c>
      <c r="K7" s="95">
        <f>K15+K18</f>
        <v>1127.5</v>
      </c>
    </row>
    <row r="8" spans="1:11" ht="15.75" x14ac:dyDescent="0.25">
      <c r="A8" s="112" t="s">
        <v>181</v>
      </c>
      <c r="B8" s="125">
        <f>'[8]Q5 Information'!B8</f>
        <v>7.4</v>
      </c>
      <c r="E8" s="133" t="s">
        <v>149</v>
      </c>
      <c r="F8" s="88">
        <f>B3*B4/1000+B5</f>
        <v>6025</v>
      </c>
      <c r="G8" s="82">
        <f>F9</f>
        <v>4500</v>
      </c>
      <c r="I8" s="90" t="s">
        <v>148</v>
      </c>
      <c r="J8" s="94">
        <f>J7</f>
        <v>1113.625</v>
      </c>
      <c r="K8" s="93">
        <f>K7</f>
        <v>1127.5</v>
      </c>
    </row>
    <row r="9" spans="1:11" ht="15.75" x14ac:dyDescent="0.25">
      <c r="A9" s="112" t="s">
        <v>183</v>
      </c>
      <c r="B9" s="124"/>
      <c r="E9" s="133" t="s">
        <v>147</v>
      </c>
      <c r="F9" s="83">
        <f>B3*B23/1000*B4</f>
        <v>4500</v>
      </c>
      <c r="G9" s="82">
        <v>0</v>
      </c>
      <c r="I9" s="84"/>
      <c r="J9" s="88"/>
      <c r="K9" s="82"/>
    </row>
    <row r="10" spans="1:11" ht="15.75" x14ac:dyDescent="0.25">
      <c r="A10" s="112" t="s">
        <v>182</v>
      </c>
      <c r="B10" s="113">
        <f>'[8]Q5 Information'!B10</f>
        <v>0.85</v>
      </c>
      <c r="E10" s="133" t="s">
        <v>145</v>
      </c>
      <c r="F10" s="83">
        <f>F8-F9</f>
        <v>1525</v>
      </c>
      <c r="G10" s="82">
        <f>G8-G9</f>
        <v>4500</v>
      </c>
      <c r="I10" s="84" t="s">
        <v>144</v>
      </c>
      <c r="J10" s="88"/>
      <c r="K10" s="82"/>
    </row>
    <row r="11" spans="1:11" ht="15.75" x14ac:dyDescent="0.25">
      <c r="A11" s="112" t="s">
        <v>181</v>
      </c>
      <c r="B11" s="113">
        <f>'[8]Q5 Information'!B11</f>
        <v>0.08</v>
      </c>
      <c r="E11" s="133" t="s">
        <v>143</v>
      </c>
      <c r="F11" s="83"/>
      <c r="G11" s="82"/>
      <c r="I11" s="84" t="s">
        <v>142</v>
      </c>
      <c r="J11" s="88"/>
      <c r="K11" s="82"/>
    </row>
    <row r="12" spans="1:11" ht="16.5" thickBot="1" x14ac:dyDescent="0.3">
      <c r="A12" s="112" t="s">
        <v>4</v>
      </c>
      <c r="B12" s="122">
        <f>'[8]Q5 Information'!B12</f>
        <v>2.5000000000000001E-2</v>
      </c>
      <c r="E12" s="133" t="s">
        <v>141</v>
      </c>
      <c r="F12" s="83">
        <f>B29*B30</f>
        <v>48</v>
      </c>
      <c r="G12" s="82">
        <f>B35*B36</f>
        <v>60</v>
      </c>
      <c r="I12" s="84" t="s">
        <v>140</v>
      </c>
      <c r="J12" s="88">
        <f>F23</f>
        <v>450</v>
      </c>
      <c r="K12" s="82">
        <f>G23</f>
        <v>337.5</v>
      </c>
    </row>
    <row r="13" spans="1:11" ht="16.5" thickBot="1" x14ac:dyDescent="0.3">
      <c r="A13" s="118"/>
      <c r="B13" s="117"/>
      <c r="E13" s="133" t="s">
        <v>139</v>
      </c>
      <c r="F13" s="83">
        <v>0</v>
      </c>
      <c r="G13" s="82">
        <v>0</v>
      </c>
      <c r="I13" s="84" t="s">
        <v>138</v>
      </c>
      <c r="J13" s="88">
        <f>F24</f>
        <v>337.5</v>
      </c>
      <c r="K13" s="82">
        <f>G24</f>
        <v>0</v>
      </c>
    </row>
    <row r="14" spans="1:11" ht="16.5" thickBot="1" x14ac:dyDescent="0.3">
      <c r="A14" s="116" t="s">
        <v>180</v>
      </c>
      <c r="B14" s="115"/>
      <c r="E14" s="133" t="s">
        <v>137</v>
      </c>
      <c r="F14" s="83">
        <f>F12+F13</f>
        <v>48</v>
      </c>
      <c r="G14" s="82">
        <f>G12+G13</f>
        <v>60</v>
      </c>
      <c r="I14" s="84" t="s">
        <v>123</v>
      </c>
      <c r="J14" s="88">
        <f>J12-J13</f>
        <v>112.5</v>
      </c>
      <c r="K14" s="82">
        <f>K12-K13</f>
        <v>337.5</v>
      </c>
    </row>
    <row r="15" spans="1:11" ht="15.75" x14ac:dyDescent="0.25">
      <c r="A15" s="112" t="s">
        <v>179</v>
      </c>
      <c r="B15" s="114">
        <f>'[8]Q5 Information'!B15</f>
        <v>100000</v>
      </c>
      <c r="E15" s="133" t="s">
        <v>136</v>
      </c>
      <c r="F15" s="83">
        <f>(B12+B25)*F9</f>
        <v>4387.5</v>
      </c>
      <c r="G15" s="82">
        <v>0</v>
      </c>
      <c r="I15" s="85" t="s">
        <v>135</v>
      </c>
      <c r="J15" s="88">
        <f>J14</f>
        <v>112.5</v>
      </c>
      <c r="K15" s="82">
        <f>K14</f>
        <v>337.5</v>
      </c>
    </row>
    <row r="16" spans="1:11" ht="15.75" x14ac:dyDescent="0.25">
      <c r="A16" s="112" t="s">
        <v>178</v>
      </c>
      <c r="B16" s="111"/>
      <c r="E16" s="133" t="s">
        <v>134</v>
      </c>
      <c r="F16" s="83">
        <v>0</v>
      </c>
      <c r="G16" s="82">
        <v>0</v>
      </c>
      <c r="I16" s="84"/>
      <c r="J16" s="88"/>
      <c r="K16" s="82"/>
    </row>
    <row r="17" spans="1:11" ht="15.75" x14ac:dyDescent="0.25">
      <c r="A17" s="112" t="s">
        <v>173</v>
      </c>
      <c r="B17" s="111">
        <f>'[8]Q5 Information'!B17</f>
        <v>0.55000000000000004</v>
      </c>
      <c r="E17" s="132" t="s">
        <v>133</v>
      </c>
      <c r="F17" s="83">
        <f>F10+F14+F15+F16</f>
        <v>5960.5</v>
      </c>
      <c r="G17" s="82">
        <f>G10+G14+G15+G16</f>
        <v>4560</v>
      </c>
      <c r="I17" s="84" t="s">
        <v>132</v>
      </c>
      <c r="J17" s="88">
        <f>B29+F36</f>
        <v>1001.125</v>
      </c>
      <c r="K17" s="82">
        <f>B35+G36</f>
        <v>790</v>
      </c>
    </row>
    <row r="18" spans="1:11" ht="15.75" x14ac:dyDescent="0.25">
      <c r="A18" s="112" t="s">
        <v>172</v>
      </c>
      <c r="B18" s="111">
        <f>'[8]Q5 Information'!B18</f>
        <v>0.66</v>
      </c>
      <c r="E18" s="131"/>
      <c r="F18" s="129"/>
      <c r="G18" s="128"/>
      <c r="I18" s="85" t="s">
        <v>131</v>
      </c>
      <c r="J18" s="88">
        <f>J17</f>
        <v>1001.125</v>
      </c>
      <c r="K18" s="82">
        <f>K17</f>
        <v>790</v>
      </c>
    </row>
    <row r="19" spans="1:11" ht="15.75" x14ac:dyDescent="0.25">
      <c r="A19" s="112" t="s">
        <v>177</v>
      </c>
      <c r="B19" s="111"/>
      <c r="E19" s="130" t="s">
        <v>130</v>
      </c>
      <c r="F19" s="129"/>
      <c r="G19" s="128"/>
      <c r="I19" s="84"/>
      <c r="J19" s="88"/>
      <c r="K19" s="82"/>
    </row>
    <row r="20" spans="1:11" ht="15.75" x14ac:dyDescent="0.25">
      <c r="A20" s="112" t="s">
        <v>173</v>
      </c>
      <c r="B20" s="111">
        <f>'[8]Q5 Information'!B20</f>
        <v>0.92</v>
      </c>
      <c r="E20" s="84" t="s">
        <v>129</v>
      </c>
      <c r="F20" s="83">
        <v>0</v>
      </c>
      <c r="G20" s="82">
        <v>0</v>
      </c>
      <c r="I20" s="81" t="s">
        <v>128</v>
      </c>
      <c r="J20" s="87">
        <f>J15+J18</f>
        <v>1113.625</v>
      </c>
      <c r="K20" s="79">
        <f>K15+K18</f>
        <v>1127.5</v>
      </c>
    </row>
    <row r="21" spans="1:11" ht="15.75" x14ac:dyDescent="0.25">
      <c r="A21" s="112" t="s">
        <v>172</v>
      </c>
      <c r="B21" s="111">
        <f>'[8]Q5 Information'!B21</f>
        <v>0.98</v>
      </c>
      <c r="E21" s="84" t="s">
        <v>127</v>
      </c>
      <c r="F21" s="83">
        <v>0</v>
      </c>
      <c r="G21" s="82">
        <v>0</v>
      </c>
      <c r="I21" s="78"/>
      <c r="J21" s="78"/>
      <c r="K21" s="78"/>
    </row>
    <row r="22" spans="1:11" ht="15.75" x14ac:dyDescent="0.25">
      <c r="A22" s="121" t="s">
        <v>176</v>
      </c>
      <c r="B22" s="120">
        <f>'[8]Q5 Information'!B22</f>
        <v>10</v>
      </c>
      <c r="E22" s="84" t="s">
        <v>126</v>
      </c>
      <c r="F22" s="83"/>
      <c r="G22" s="82"/>
      <c r="I22" s="78"/>
      <c r="J22" s="78"/>
      <c r="K22" s="78"/>
    </row>
    <row r="23" spans="1:11" ht="15.75" x14ac:dyDescent="0.25">
      <c r="A23" s="112" t="s">
        <v>175</v>
      </c>
      <c r="B23" s="113">
        <f>'[8]Q5 Information'!B23</f>
        <v>0.75</v>
      </c>
      <c r="E23" s="84" t="s">
        <v>125</v>
      </c>
      <c r="F23" s="83">
        <f>B3*B7/1000</f>
        <v>450</v>
      </c>
      <c r="G23" s="82">
        <f>F24</f>
        <v>337.5</v>
      </c>
      <c r="I23" s="78"/>
      <c r="J23" s="78"/>
      <c r="K23" s="78"/>
    </row>
    <row r="24" spans="1:11" ht="15.75" x14ac:dyDescent="0.25">
      <c r="A24" s="112" t="s">
        <v>174</v>
      </c>
      <c r="B24" s="119"/>
      <c r="E24" s="84" t="s">
        <v>124</v>
      </c>
      <c r="F24" s="83">
        <f>F23*B23</f>
        <v>337.5</v>
      </c>
      <c r="G24" s="82">
        <v>0</v>
      </c>
      <c r="I24" s="78"/>
      <c r="J24" s="78"/>
      <c r="K24" s="78"/>
    </row>
    <row r="25" spans="1:11" ht="15.75" x14ac:dyDescent="0.25">
      <c r="A25" s="112" t="s">
        <v>173</v>
      </c>
      <c r="B25" s="113">
        <f>'[8]Q5 Information'!B25</f>
        <v>0.95</v>
      </c>
      <c r="E25" s="84" t="s">
        <v>123</v>
      </c>
      <c r="F25" s="83">
        <f>F23-F24</f>
        <v>112.5</v>
      </c>
      <c r="G25" s="82">
        <f>G23-G24</f>
        <v>337.5</v>
      </c>
      <c r="I25" s="78"/>
      <c r="J25" s="78"/>
      <c r="K25" s="78"/>
    </row>
    <row r="26" spans="1:11" ht="15.75" x14ac:dyDescent="0.25">
      <c r="A26" s="112" t="s">
        <v>172</v>
      </c>
      <c r="B26" s="113">
        <f>'[8]Q5 Information'!B26</f>
        <v>0.1</v>
      </c>
      <c r="E26" s="84" t="s">
        <v>122</v>
      </c>
      <c r="F26" s="83">
        <v>0</v>
      </c>
      <c r="G26" s="82">
        <v>0</v>
      </c>
      <c r="I26" s="78"/>
      <c r="J26" s="78"/>
      <c r="K26" s="78"/>
    </row>
    <row r="27" spans="1:11" ht="16.5" thickBot="1" x14ac:dyDescent="0.3">
      <c r="A27" s="110"/>
      <c r="B27" s="109"/>
      <c r="E27" s="85" t="s">
        <v>121</v>
      </c>
      <c r="F27" s="83">
        <f>F25+F26</f>
        <v>112.5</v>
      </c>
      <c r="G27" s="82">
        <f>G25+G26</f>
        <v>337.5</v>
      </c>
      <c r="I27" s="78"/>
      <c r="J27" s="78"/>
      <c r="K27" s="78"/>
    </row>
    <row r="28" spans="1:11" ht="16.5" thickBot="1" x14ac:dyDescent="0.3">
      <c r="A28" s="116" t="s">
        <v>171</v>
      </c>
      <c r="B28" s="115"/>
      <c r="E28" s="84"/>
      <c r="F28" s="83"/>
      <c r="G28" s="82"/>
      <c r="I28" s="78"/>
      <c r="J28" s="78"/>
      <c r="K28" s="78"/>
    </row>
    <row r="29" spans="1:11" ht="15.75" x14ac:dyDescent="0.25">
      <c r="A29" s="112" t="s">
        <v>167</v>
      </c>
      <c r="B29" s="111">
        <f>'[8]Q5 Information'!B29</f>
        <v>800</v>
      </c>
      <c r="E29" s="86" t="s">
        <v>120</v>
      </c>
      <c r="F29" s="83"/>
      <c r="G29" s="82"/>
      <c r="I29" s="78"/>
      <c r="J29" s="78"/>
      <c r="K29" s="78"/>
    </row>
    <row r="30" spans="1:11" ht="15.75" x14ac:dyDescent="0.25">
      <c r="A30" s="112" t="s">
        <v>166</v>
      </c>
      <c r="B30" s="113">
        <f>'[8]Q5 Information'!B30</f>
        <v>0.06</v>
      </c>
      <c r="E30" s="84" t="s">
        <v>119</v>
      </c>
      <c r="F30" s="83">
        <f>B10*(B3*B4/1000+B5)</f>
        <v>5121.25</v>
      </c>
      <c r="G30" s="82">
        <f>G8*B25</f>
        <v>4275</v>
      </c>
      <c r="I30" s="78"/>
      <c r="J30" s="78"/>
      <c r="K30" s="78"/>
    </row>
    <row r="31" spans="1:11" ht="31.5" x14ac:dyDescent="0.25">
      <c r="A31" s="112" t="s">
        <v>170</v>
      </c>
      <c r="B31" s="111">
        <f>'[8]Q5 Information'!B31</f>
        <v>350</v>
      </c>
      <c r="E31" s="84" t="s">
        <v>118</v>
      </c>
      <c r="F31" s="83">
        <f>B31</f>
        <v>350</v>
      </c>
      <c r="G31" s="82">
        <f>B37</f>
        <v>30</v>
      </c>
      <c r="I31" s="78"/>
      <c r="J31" s="78"/>
      <c r="K31" s="78"/>
    </row>
    <row r="32" spans="1:11" ht="32.25" thickBot="1" x14ac:dyDescent="0.3">
      <c r="A32" s="110" t="s">
        <v>169</v>
      </c>
      <c r="B32" s="111">
        <f>'[8]Q5 Information'!B32</f>
        <v>25</v>
      </c>
      <c r="E32" s="84" t="s">
        <v>117</v>
      </c>
      <c r="F32" s="83">
        <f>B32</f>
        <v>25</v>
      </c>
      <c r="G32" s="82">
        <f>B38</f>
        <v>15</v>
      </c>
      <c r="I32" s="78"/>
      <c r="J32" s="78"/>
      <c r="K32" s="78"/>
    </row>
    <row r="33" spans="1:11" ht="16.5" thickBot="1" x14ac:dyDescent="0.3">
      <c r="A33" s="118"/>
      <c r="B33" s="117"/>
      <c r="E33" s="84" t="s">
        <v>116</v>
      </c>
      <c r="F33" s="83">
        <f>B12*(B3*B4/1000+B5)</f>
        <v>150.625</v>
      </c>
      <c r="G33" s="82">
        <f>B12*G8</f>
        <v>112.5</v>
      </c>
      <c r="I33" s="78"/>
      <c r="J33" s="78"/>
      <c r="K33" s="78"/>
    </row>
    <row r="34" spans="1:11" ht="16.5" thickBot="1" x14ac:dyDescent="0.3">
      <c r="A34" s="116" t="s">
        <v>168</v>
      </c>
      <c r="B34" s="115"/>
      <c r="E34" s="85" t="s">
        <v>115</v>
      </c>
      <c r="F34" s="83">
        <f>SUM(F30:F33)</f>
        <v>5646.875</v>
      </c>
      <c r="G34" s="82">
        <f>SUM(G30:G33)</f>
        <v>4432.5</v>
      </c>
      <c r="I34" s="78"/>
      <c r="J34" s="78"/>
      <c r="K34" s="78"/>
    </row>
    <row r="35" spans="1:11" ht="15.75" x14ac:dyDescent="0.25">
      <c r="A35" s="112" t="s">
        <v>167</v>
      </c>
      <c r="B35" s="114">
        <f>'[8]Q5 Information'!B35</f>
        <v>1000</v>
      </c>
      <c r="E35" s="84"/>
      <c r="F35" s="83"/>
      <c r="G35" s="82"/>
      <c r="I35" s="78"/>
      <c r="J35" s="78"/>
      <c r="K35" s="78"/>
    </row>
    <row r="36" spans="1:11" ht="15.75" x14ac:dyDescent="0.25">
      <c r="A36" s="112" t="s">
        <v>166</v>
      </c>
      <c r="B36" s="113">
        <f>'[8]Q5 Information'!B36</f>
        <v>0.06</v>
      </c>
      <c r="E36" s="81" t="s">
        <v>114</v>
      </c>
      <c r="F36" s="80">
        <f>F17-F27-F34</f>
        <v>201.125</v>
      </c>
      <c r="G36" s="79">
        <f>G17-G27-G34</f>
        <v>-210</v>
      </c>
      <c r="I36" s="78"/>
      <c r="J36" s="78"/>
      <c r="K36" s="78"/>
    </row>
    <row r="37" spans="1:11" ht="15.75" x14ac:dyDescent="0.25">
      <c r="A37" s="112" t="s">
        <v>165</v>
      </c>
      <c r="B37" s="111">
        <f>'[8]Q5 Information'!B37</f>
        <v>30</v>
      </c>
      <c r="E37" s="78"/>
      <c r="F37" s="78"/>
      <c r="G37" s="78"/>
      <c r="I37" s="78"/>
      <c r="J37" s="78"/>
      <c r="K37" s="78"/>
    </row>
    <row r="38" spans="1:11" ht="16.5" thickBot="1" x14ac:dyDescent="0.3">
      <c r="A38" s="110" t="s">
        <v>164</v>
      </c>
      <c r="B38" s="109">
        <f>'[8]Q5 Information'!B38</f>
        <v>15</v>
      </c>
      <c r="E38" s="78"/>
      <c r="F38" s="78"/>
      <c r="G38" s="78"/>
      <c r="I38" s="78"/>
      <c r="J38" s="78"/>
      <c r="K38" s="78"/>
    </row>
    <row r="39" spans="1:11" ht="15.75" thickBot="1" x14ac:dyDescent="0.3">
      <c r="E39" s="105" t="s">
        <v>163</v>
      </c>
      <c r="F39" s="104"/>
      <c r="G39" s="103"/>
      <c r="I39" s="108" t="s">
        <v>162</v>
      </c>
      <c r="J39" s="104"/>
      <c r="K39" s="103"/>
    </row>
    <row r="40" spans="1:11" ht="15.75" thickBot="1" x14ac:dyDescent="0.3">
      <c r="E40" s="105" t="s">
        <v>190</v>
      </c>
      <c r="F40" s="104"/>
      <c r="G40" s="103"/>
      <c r="I40" s="105" t="s">
        <v>190</v>
      </c>
      <c r="J40" s="104"/>
      <c r="K40" s="103"/>
    </row>
    <row r="41" spans="1:11" ht="15.75" thickBot="1" x14ac:dyDescent="0.3">
      <c r="E41" s="108" t="s">
        <v>160</v>
      </c>
      <c r="F41" s="107"/>
      <c r="G41" s="106"/>
      <c r="I41" s="105" t="s">
        <v>160</v>
      </c>
      <c r="J41" s="104"/>
      <c r="K41" s="103"/>
    </row>
    <row r="42" spans="1:11" x14ac:dyDescent="0.25">
      <c r="E42" s="102"/>
      <c r="F42" s="102" t="s">
        <v>158</v>
      </c>
      <c r="G42" s="102" t="s">
        <v>157</v>
      </c>
      <c r="I42" s="102"/>
      <c r="J42" s="102" t="s">
        <v>158</v>
      </c>
      <c r="K42" s="102" t="s">
        <v>157</v>
      </c>
    </row>
    <row r="43" spans="1:11" x14ac:dyDescent="0.25">
      <c r="B43" s="126"/>
      <c r="E43" s="91" t="s">
        <v>155</v>
      </c>
      <c r="F43" s="78"/>
      <c r="G43" s="100"/>
      <c r="I43" s="91" t="s">
        <v>154</v>
      </c>
      <c r="J43" s="99"/>
      <c r="K43" s="98"/>
    </row>
    <row r="44" spans="1:11" x14ac:dyDescent="0.25">
      <c r="B44" s="126"/>
      <c r="E44" s="91" t="s">
        <v>152</v>
      </c>
      <c r="F44" s="78"/>
      <c r="G44" s="97"/>
      <c r="I44" s="91" t="s">
        <v>151</v>
      </c>
      <c r="J44" s="96">
        <f>J52+J55</f>
        <v>2610.3175000000001</v>
      </c>
      <c r="K44" s="95">
        <f>K52+K55</f>
        <v>5117.6499999999996</v>
      </c>
    </row>
    <row r="45" spans="1:11" x14ac:dyDescent="0.25">
      <c r="B45" s="126"/>
      <c r="E45" s="91" t="s">
        <v>149</v>
      </c>
      <c r="F45" s="88">
        <f>B3*B4/1000+B5</f>
        <v>6025</v>
      </c>
      <c r="G45" s="82">
        <f>F46</f>
        <v>4500</v>
      </c>
      <c r="I45" s="90" t="s">
        <v>148</v>
      </c>
      <c r="J45" s="94">
        <f>J44</f>
        <v>2610.3175000000001</v>
      </c>
      <c r="K45" s="93">
        <f>K44</f>
        <v>5117.6499999999996</v>
      </c>
    </row>
    <row r="46" spans="1:11" x14ac:dyDescent="0.25">
      <c r="B46" s="126"/>
      <c r="E46" s="91" t="s">
        <v>147</v>
      </c>
      <c r="F46" s="83">
        <f>F9</f>
        <v>4500</v>
      </c>
      <c r="G46" s="82">
        <v>0</v>
      </c>
      <c r="I46" s="84"/>
      <c r="J46" s="88"/>
      <c r="K46" s="82"/>
    </row>
    <row r="47" spans="1:11" x14ac:dyDescent="0.25">
      <c r="E47" s="91" t="s">
        <v>145</v>
      </c>
      <c r="F47" s="83">
        <f>F45-F46</f>
        <v>1525</v>
      </c>
      <c r="G47" s="82">
        <f>G45-G46</f>
        <v>4500</v>
      </c>
      <c r="I47" s="84" t="s">
        <v>144</v>
      </c>
      <c r="J47" s="88"/>
      <c r="K47" s="82"/>
    </row>
    <row r="48" spans="1:11" x14ac:dyDescent="0.25">
      <c r="B48" s="127"/>
      <c r="E48" s="91" t="s">
        <v>143</v>
      </c>
      <c r="F48" s="83"/>
      <c r="G48" s="82"/>
      <c r="I48" s="84" t="s">
        <v>142</v>
      </c>
      <c r="J48" s="88"/>
      <c r="K48" s="82"/>
    </row>
    <row r="49" spans="2:11" x14ac:dyDescent="0.25">
      <c r="B49" s="126"/>
      <c r="E49" s="91" t="s">
        <v>141</v>
      </c>
      <c r="F49" s="83">
        <f>J18*B30</f>
        <v>60.067499999999995</v>
      </c>
      <c r="G49" s="82">
        <f>B36*K18</f>
        <v>47.4</v>
      </c>
      <c r="I49" s="84" t="s">
        <v>140</v>
      </c>
      <c r="J49" s="88">
        <f>F60+J12</f>
        <v>3700</v>
      </c>
      <c r="K49" s="82">
        <f>G60+G23</f>
        <v>2775</v>
      </c>
    </row>
    <row r="50" spans="2:11" x14ac:dyDescent="0.25">
      <c r="B50" s="126"/>
      <c r="E50" s="91" t="s">
        <v>139</v>
      </c>
      <c r="F50" s="83">
        <f>J15*B30</f>
        <v>6.75</v>
      </c>
      <c r="G50" s="82">
        <f>B36*K15</f>
        <v>20.25</v>
      </c>
      <c r="I50" s="84" t="s">
        <v>138</v>
      </c>
      <c r="J50" s="88">
        <f>F61+F24</f>
        <v>2775</v>
      </c>
      <c r="K50" s="82">
        <v>0</v>
      </c>
    </row>
    <row r="51" spans="2:11" x14ac:dyDescent="0.25">
      <c r="E51" s="91" t="s">
        <v>137</v>
      </c>
      <c r="F51" s="83">
        <f>F49+F50</f>
        <v>66.817499999999995</v>
      </c>
      <c r="G51" s="82">
        <f>G49+G50</f>
        <v>67.650000000000006</v>
      </c>
      <c r="I51" s="84" t="s">
        <v>123</v>
      </c>
      <c r="J51" s="88">
        <f>J49-J50</f>
        <v>925</v>
      </c>
      <c r="K51" s="82">
        <f>K49-K50</f>
        <v>2775</v>
      </c>
    </row>
    <row r="52" spans="2:11" x14ac:dyDescent="0.25">
      <c r="E52" s="91" t="s">
        <v>136</v>
      </c>
      <c r="F52" s="83">
        <f>F46*(B26+B12)</f>
        <v>562.5</v>
      </c>
      <c r="G52" s="82">
        <v>0</v>
      </c>
      <c r="I52" s="85" t="s">
        <v>135</v>
      </c>
      <c r="J52" s="88">
        <f>J51</f>
        <v>925</v>
      </c>
      <c r="K52" s="82">
        <f>K51</f>
        <v>2775</v>
      </c>
    </row>
    <row r="53" spans="2:11" x14ac:dyDescent="0.25">
      <c r="E53" s="91" t="s">
        <v>134</v>
      </c>
      <c r="F53" s="83">
        <v>0</v>
      </c>
      <c r="G53" s="82">
        <v>0</v>
      </c>
      <c r="I53" s="84"/>
      <c r="J53" s="88"/>
      <c r="K53" s="82"/>
    </row>
    <row r="54" spans="2:11" x14ac:dyDescent="0.25">
      <c r="E54" s="90" t="s">
        <v>133</v>
      </c>
      <c r="F54" s="83">
        <f>F47+F51+F52+F53</f>
        <v>2154.3175000000001</v>
      </c>
      <c r="G54" s="82">
        <f>G47+G51+G52+G53</f>
        <v>4567.6499999999996</v>
      </c>
      <c r="I54" s="84" t="s">
        <v>132</v>
      </c>
      <c r="J54" s="88">
        <f>J18+F73</f>
        <v>1685.3175000000001</v>
      </c>
      <c r="K54" s="82">
        <f>G73+K18</f>
        <v>2342.6499999999996</v>
      </c>
    </row>
    <row r="55" spans="2:11" x14ac:dyDescent="0.25">
      <c r="E55" s="84"/>
      <c r="F55" s="89"/>
      <c r="G55" s="82"/>
      <c r="I55" s="85" t="s">
        <v>131</v>
      </c>
      <c r="J55" s="88">
        <f>J54</f>
        <v>1685.3175000000001</v>
      </c>
      <c r="K55" s="82">
        <f>K54</f>
        <v>2342.6499999999996</v>
      </c>
    </row>
    <row r="56" spans="2:11" x14ac:dyDescent="0.25">
      <c r="E56" s="86" t="s">
        <v>130</v>
      </c>
      <c r="F56" s="89"/>
      <c r="G56" s="82"/>
      <c r="I56" s="84"/>
      <c r="J56" s="88"/>
      <c r="K56" s="82"/>
    </row>
    <row r="57" spans="2:11" x14ac:dyDescent="0.25">
      <c r="E57" s="84" t="s">
        <v>129</v>
      </c>
      <c r="F57" s="83">
        <v>0</v>
      </c>
      <c r="G57" s="82">
        <v>0</v>
      </c>
      <c r="I57" s="81" t="s">
        <v>128</v>
      </c>
      <c r="J57" s="87">
        <f>J52+J55</f>
        <v>2610.3175000000001</v>
      </c>
      <c r="K57" s="79">
        <f>K52+K55</f>
        <v>5117.6499999999996</v>
      </c>
    </row>
    <row r="58" spans="2:11" x14ac:dyDescent="0.25">
      <c r="E58" s="84" t="s">
        <v>127</v>
      </c>
      <c r="F58" s="83">
        <v>0</v>
      </c>
      <c r="G58" s="82">
        <v>0</v>
      </c>
      <c r="I58" s="78"/>
      <c r="J58" s="78"/>
      <c r="K58" s="78"/>
    </row>
    <row r="59" spans="2:11" x14ac:dyDescent="0.25">
      <c r="E59" s="84" t="s">
        <v>126</v>
      </c>
      <c r="F59" s="83"/>
      <c r="G59" s="82"/>
      <c r="I59" s="78"/>
      <c r="J59" s="78"/>
      <c r="K59" s="78"/>
    </row>
    <row r="60" spans="2:11" x14ac:dyDescent="0.25">
      <c r="E60" s="84" t="s">
        <v>125</v>
      </c>
      <c r="F60" s="83">
        <f>B3*B8/1000-F23</f>
        <v>3250</v>
      </c>
      <c r="G60" s="82">
        <f>F61</f>
        <v>2437.5</v>
      </c>
      <c r="I60" s="78"/>
      <c r="J60" s="78"/>
      <c r="K60" s="78"/>
    </row>
    <row r="61" spans="2:11" x14ac:dyDescent="0.25">
      <c r="E61" s="84" t="s">
        <v>124</v>
      </c>
      <c r="F61" s="83">
        <f>F60*B23</f>
        <v>2437.5</v>
      </c>
      <c r="G61" s="82">
        <v>0</v>
      </c>
      <c r="I61" s="78"/>
      <c r="J61" s="78"/>
      <c r="K61" s="78"/>
    </row>
    <row r="62" spans="2:11" x14ac:dyDescent="0.25">
      <c r="E62" s="84" t="s">
        <v>123</v>
      </c>
      <c r="F62" s="83">
        <f>F60-F61</f>
        <v>812.5</v>
      </c>
      <c r="G62" s="82">
        <f>G60-G61</f>
        <v>2437.5</v>
      </c>
      <c r="I62" s="78"/>
      <c r="J62" s="78"/>
      <c r="K62" s="78"/>
    </row>
    <row r="63" spans="2:11" x14ac:dyDescent="0.25">
      <c r="E63" s="84" t="s">
        <v>122</v>
      </c>
      <c r="F63" s="83">
        <v>0</v>
      </c>
      <c r="G63" s="82">
        <v>0</v>
      </c>
      <c r="I63" s="78"/>
      <c r="J63" s="78"/>
      <c r="K63" s="78"/>
    </row>
    <row r="64" spans="2:11" x14ac:dyDescent="0.25">
      <c r="E64" s="85" t="s">
        <v>121</v>
      </c>
      <c r="F64" s="83">
        <f>F62+F63</f>
        <v>812.5</v>
      </c>
      <c r="G64" s="82">
        <f>G62+G63</f>
        <v>2437.5</v>
      </c>
      <c r="I64" s="78"/>
      <c r="J64" s="78"/>
      <c r="K64" s="78"/>
    </row>
    <row r="65" spans="5:11" x14ac:dyDescent="0.25">
      <c r="E65" s="84"/>
      <c r="F65" s="83"/>
      <c r="G65" s="82"/>
      <c r="I65" s="78"/>
      <c r="J65" s="78"/>
      <c r="K65" s="78"/>
    </row>
    <row r="66" spans="5:11" x14ac:dyDescent="0.25">
      <c r="E66" s="86" t="s">
        <v>120</v>
      </c>
      <c r="F66" s="83"/>
      <c r="G66" s="82"/>
      <c r="I66" s="78"/>
      <c r="J66" s="78"/>
      <c r="K66" s="78"/>
    </row>
    <row r="67" spans="5:11" x14ac:dyDescent="0.25">
      <c r="E67" s="84" t="s">
        <v>119</v>
      </c>
      <c r="F67" s="83">
        <f>B11*(B3*B4/1000+B5)</f>
        <v>482</v>
      </c>
      <c r="G67" s="82">
        <f>G45*B26</f>
        <v>450</v>
      </c>
      <c r="I67" s="78"/>
      <c r="J67" s="78"/>
      <c r="K67" s="78"/>
    </row>
    <row r="68" spans="5:11" x14ac:dyDescent="0.25">
      <c r="E68" s="84" t="s">
        <v>118</v>
      </c>
      <c r="F68" s="83">
        <v>0</v>
      </c>
      <c r="G68" s="82">
        <v>0</v>
      </c>
      <c r="I68" s="78"/>
      <c r="J68" s="78"/>
      <c r="K68" s="78"/>
    </row>
    <row r="69" spans="5:11" x14ac:dyDescent="0.25">
      <c r="E69" s="84" t="s">
        <v>117</v>
      </c>
      <c r="F69" s="83">
        <f>B32</f>
        <v>25</v>
      </c>
      <c r="G69" s="82">
        <f>B38</f>
        <v>15</v>
      </c>
      <c r="I69" s="78"/>
      <c r="J69" s="78"/>
      <c r="K69" s="78"/>
    </row>
    <row r="70" spans="5:11" x14ac:dyDescent="0.25">
      <c r="E70" s="84" t="s">
        <v>116</v>
      </c>
      <c r="F70" s="83">
        <f>B12*(B3*B4/1000+B5)</f>
        <v>150.625</v>
      </c>
      <c r="G70" s="82">
        <f>G45*B12</f>
        <v>112.5</v>
      </c>
      <c r="I70" s="78"/>
      <c r="J70" s="78"/>
      <c r="K70" s="78"/>
    </row>
    <row r="71" spans="5:11" x14ac:dyDescent="0.25">
      <c r="E71" s="85" t="s">
        <v>115</v>
      </c>
      <c r="F71" s="83">
        <f>SUM(F67:F70)</f>
        <v>657.625</v>
      </c>
      <c r="G71" s="82">
        <f>SUM(G67:G70)</f>
        <v>577.5</v>
      </c>
      <c r="I71" s="78"/>
      <c r="J71" s="78"/>
      <c r="K71" s="78"/>
    </row>
    <row r="72" spans="5:11" x14ac:dyDescent="0.25">
      <c r="E72" s="84"/>
      <c r="F72" s="83"/>
      <c r="G72" s="82"/>
      <c r="I72" s="78"/>
      <c r="J72" s="78"/>
      <c r="K72" s="78"/>
    </row>
    <row r="73" spans="5:11" x14ac:dyDescent="0.25">
      <c r="E73" s="81" t="s">
        <v>114</v>
      </c>
      <c r="F73" s="80">
        <f>F54-F64-F71</f>
        <v>684.19250000000011</v>
      </c>
      <c r="G73" s="79">
        <f>G54-G64-G71</f>
        <v>1552.6499999999996</v>
      </c>
      <c r="I73" s="78"/>
      <c r="J73" s="78"/>
      <c r="K73" s="78"/>
    </row>
  </sheetData>
  <mergeCells count="18">
    <mergeCell ref="E40:G40"/>
    <mergeCell ref="I40:K40"/>
    <mergeCell ref="E41:G41"/>
    <mergeCell ref="I41:K41"/>
    <mergeCell ref="E39:G39"/>
    <mergeCell ref="A13:B13"/>
    <mergeCell ref="A14:B14"/>
    <mergeCell ref="A28:B28"/>
    <mergeCell ref="A33:B33"/>
    <mergeCell ref="A34:B34"/>
    <mergeCell ref="I39:K39"/>
    <mergeCell ref="E4:G4"/>
    <mergeCell ref="I4:K4"/>
    <mergeCell ref="A2:B2"/>
    <mergeCell ref="E2:G2"/>
    <mergeCell ref="I2:K2"/>
    <mergeCell ref="E3:G3"/>
    <mergeCell ref="I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9182-160A-482F-B2E1-6259E21C00A4}">
  <sheetPr>
    <tabColor rgb="FF00B050"/>
  </sheetPr>
  <dimension ref="A1:AB41"/>
  <sheetViews>
    <sheetView topLeftCell="A13" workbookViewId="0">
      <selection activeCell="L41" sqref="L41"/>
    </sheetView>
  </sheetViews>
  <sheetFormatPr defaultColWidth="8.7109375" defaultRowHeight="15" x14ac:dyDescent="0.25"/>
  <cols>
    <col min="1" max="1" width="44.5703125" style="2" customWidth="1"/>
    <col min="2" max="2" width="23.5703125" style="2" customWidth="1"/>
    <col min="3" max="3" width="8.85546875" style="2" bestFit="1" customWidth="1"/>
    <col min="4" max="4" width="13.85546875" style="2" customWidth="1"/>
    <col min="5" max="5" width="8.7109375" style="2"/>
    <col min="6" max="6" width="12" style="2" bestFit="1" customWidth="1"/>
    <col min="7" max="7" width="16.42578125" style="2" bestFit="1" customWidth="1"/>
    <col min="8" max="8" width="14.140625" style="2" bestFit="1" customWidth="1"/>
    <col min="9" max="9" width="9.7109375" style="2" bestFit="1" customWidth="1"/>
    <col min="10" max="10" width="10.5703125" style="2" customWidth="1"/>
    <col min="11" max="11" width="14.7109375" style="2" customWidth="1"/>
    <col min="12" max="12" width="9.7109375" style="2" bestFit="1" customWidth="1"/>
    <col min="13" max="13" width="16.28515625" style="2" bestFit="1" customWidth="1"/>
    <col min="14" max="14" width="8.85546875" style="2" bestFit="1" customWidth="1"/>
    <col min="15" max="16384" width="8.7109375" style="2"/>
  </cols>
  <sheetData>
    <row r="1" spans="1:8" s="159" customFormat="1" ht="18.75" x14ac:dyDescent="0.25">
      <c r="A1" s="160" t="s">
        <v>218</v>
      </c>
    </row>
    <row r="2" spans="1:8" s="150" customFormat="1" ht="15.75" x14ac:dyDescent="0.25"/>
    <row r="3" spans="1:8" s="150" customFormat="1" ht="30.95" customHeight="1" x14ac:dyDescent="0.25">
      <c r="A3" s="158" t="s">
        <v>217</v>
      </c>
      <c r="B3" s="158"/>
      <c r="C3" s="158"/>
      <c r="D3" s="158"/>
      <c r="E3" s="158"/>
      <c r="F3" s="158"/>
      <c r="G3" s="158"/>
      <c r="H3" s="158"/>
    </row>
    <row r="4" spans="1:8" s="150" customFormat="1" ht="15.75" x14ac:dyDescent="0.25">
      <c r="A4" s="157"/>
      <c r="B4" s="157"/>
      <c r="C4" s="157"/>
      <c r="D4" s="157"/>
      <c r="E4" s="157"/>
      <c r="F4" s="157"/>
      <c r="G4" s="157"/>
      <c r="H4" s="157"/>
    </row>
    <row r="5" spans="1:8" s="150" customFormat="1" ht="15.75" x14ac:dyDescent="0.25">
      <c r="A5" s="150" t="s">
        <v>216</v>
      </c>
    </row>
    <row r="6" spans="1:8" s="150" customFormat="1" ht="16.5" thickBot="1" x14ac:dyDescent="0.3"/>
    <row r="7" spans="1:8" s="150" customFormat="1" ht="16.5" thickBot="1" x14ac:dyDescent="0.3">
      <c r="A7" s="156" t="s">
        <v>215</v>
      </c>
      <c r="B7" s="155">
        <v>100000</v>
      </c>
    </row>
    <row r="8" spans="1:8" s="150" customFormat="1" ht="16.5" thickBot="1" x14ac:dyDescent="0.3">
      <c r="A8" s="152" t="s">
        <v>214</v>
      </c>
      <c r="B8" s="154">
        <v>1.4999999999999999E-2</v>
      </c>
    </row>
    <row r="9" spans="1:8" s="150" customFormat="1" ht="16.5" thickBot="1" x14ac:dyDescent="0.3">
      <c r="A9" s="152" t="s">
        <v>213</v>
      </c>
      <c r="B9" s="154">
        <v>0.01</v>
      </c>
    </row>
    <row r="10" spans="1:8" s="150" customFormat="1" ht="16.5" thickBot="1" x14ac:dyDescent="0.3">
      <c r="A10" s="152" t="s">
        <v>212</v>
      </c>
      <c r="B10" s="153">
        <v>10</v>
      </c>
    </row>
    <row r="11" spans="1:8" s="150" customFormat="1" ht="16.5" thickBot="1" x14ac:dyDescent="0.3">
      <c r="A11" s="152" t="s">
        <v>211</v>
      </c>
      <c r="B11" s="151">
        <v>0.03</v>
      </c>
    </row>
    <row r="12" spans="1:8" s="150" customFormat="1" ht="16.5" thickBot="1" x14ac:dyDescent="0.3">
      <c r="A12" s="152" t="s">
        <v>210</v>
      </c>
      <c r="B12" s="154">
        <v>0.06</v>
      </c>
    </row>
    <row r="13" spans="1:8" s="150" customFormat="1" ht="16.5" thickBot="1" x14ac:dyDescent="0.3">
      <c r="A13" s="152" t="s">
        <v>209</v>
      </c>
      <c r="B13" s="153">
        <v>500</v>
      </c>
    </row>
    <row r="14" spans="1:8" s="150" customFormat="1" ht="16.5" thickBot="1" x14ac:dyDescent="0.3">
      <c r="A14" s="152" t="s">
        <v>208</v>
      </c>
      <c r="B14" s="151">
        <v>0.02</v>
      </c>
    </row>
    <row r="15" spans="1:8" s="150" customFormat="1" ht="16.5" thickBot="1" x14ac:dyDescent="0.3">
      <c r="A15" s="152" t="s">
        <v>207</v>
      </c>
      <c r="B15" s="151">
        <v>0.1</v>
      </c>
    </row>
    <row r="16" spans="1:8" s="150" customFormat="1" ht="16.5" thickBot="1" x14ac:dyDescent="0.3">
      <c r="A16" s="152" t="s">
        <v>206</v>
      </c>
      <c r="B16" s="151">
        <v>0.2</v>
      </c>
    </row>
    <row r="17" spans="1:28" s="150" customFormat="1" ht="16.5" thickBot="1" x14ac:dyDescent="0.3">
      <c r="A17" s="152" t="s">
        <v>205</v>
      </c>
      <c r="B17" s="151">
        <v>0.04</v>
      </c>
    </row>
    <row r="18" spans="1:28" s="150" customFormat="1" ht="15.75" x14ac:dyDescent="0.25"/>
    <row r="19" spans="1:28" s="149" customFormat="1" ht="15.75" x14ac:dyDescent="0.25"/>
    <row r="20" spans="1:28" ht="15.75" x14ac:dyDescent="0.25">
      <c r="A20" s="3" t="s">
        <v>204</v>
      </c>
      <c r="B20" s="3"/>
    </row>
    <row r="21" spans="1:28" ht="15.75" x14ac:dyDescent="0.25">
      <c r="A21" s="3"/>
      <c r="B21" s="3"/>
    </row>
    <row r="22" spans="1:28" ht="15.75" x14ac:dyDescent="0.25">
      <c r="A22" s="3" t="s">
        <v>203</v>
      </c>
      <c r="B22" s="3"/>
    </row>
    <row r="23" spans="1:28" ht="15.75" x14ac:dyDescent="0.25">
      <c r="A23" s="3"/>
      <c r="B23" s="3"/>
      <c r="C23" s="3"/>
      <c r="D23" s="3"/>
      <c r="E23" s="3"/>
      <c r="F23" s="3"/>
      <c r="G23" s="3" t="s">
        <v>202</v>
      </c>
      <c r="H23" s="148" t="s">
        <v>201</v>
      </c>
      <c r="I23" s="3"/>
      <c r="J23" s="3"/>
      <c r="K23" s="3"/>
      <c r="L23" s="3"/>
      <c r="M23" s="3"/>
      <c r="N23" s="3"/>
    </row>
    <row r="24" spans="1:28" ht="15.75" x14ac:dyDescent="0.25">
      <c r="A24" s="3"/>
      <c r="B24" s="3"/>
      <c r="C24" s="3"/>
      <c r="D24" s="3"/>
      <c r="E24" s="3"/>
      <c r="F24" s="3"/>
      <c r="G24" s="3"/>
      <c r="H24" s="147">
        <f>M38-(J38+I38)-G37</f>
        <v>16347.021806956191</v>
      </c>
      <c r="I24" s="3"/>
      <c r="J24" s="3"/>
      <c r="K24" s="3"/>
      <c r="L24" s="3"/>
      <c r="M24" s="3"/>
      <c r="N24" s="3"/>
    </row>
    <row r="25" spans="1:28" ht="15.75" x14ac:dyDescent="0.25">
      <c r="A25" s="1" t="s">
        <v>0</v>
      </c>
      <c r="B25" s="3"/>
      <c r="C25" s="3">
        <v>100000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8" ht="15.75" x14ac:dyDescent="0.25">
      <c r="A26" s="1"/>
      <c r="B26" s="3" t="s">
        <v>200</v>
      </c>
      <c r="C26" s="3"/>
      <c r="D26" s="3" t="s">
        <v>199</v>
      </c>
      <c r="E26" s="3"/>
      <c r="F26" s="3" t="s">
        <v>198</v>
      </c>
      <c r="G26" s="3" t="s">
        <v>197</v>
      </c>
      <c r="H26" s="3"/>
      <c r="I26" s="3" t="s">
        <v>196</v>
      </c>
      <c r="J26" s="3" t="s">
        <v>195</v>
      </c>
      <c r="K26" s="3"/>
      <c r="L26" s="3" t="s">
        <v>194</v>
      </c>
      <c r="M26" s="3" t="s">
        <v>193</v>
      </c>
      <c r="N26" s="3" t="s">
        <v>192</v>
      </c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5.75" x14ac:dyDescent="0.25">
      <c r="B27" s="3">
        <v>0</v>
      </c>
      <c r="C27" s="3"/>
      <c r="D27" s="143">
        <f>C25</f>
        <v>100000</v>
      </c>
      <c r="E27" s="3"/>
      <c r="F27" s="143">
        <f>C25</f>
        <v>100000</v>
      </c>
      <c r="G27" s="3"/>
      <c r="H27" s="3"/>
      <c r="I27" s="3">
        <f>B12*D27</f>
        <v>6000</v>
      </c>
      <c r="J27" s="3">
        <f>$B$13*N27</f>
        <v>500</v>
      </c>
      <c r="K27" s="3"/>
      <c r="L27" s="143">
        <f>($B$8+$B$9)*D27</f>
        <v>2500</v>
      </c>
      <c r="M27" s="143">
        <f>L27*N27</f>
        <v>2500</v>
      </c>
      <c r="N27" s="144">
        <v>1</v>
      </c>
    </row>
    <row r="28" spans="1:28" ht="15.75" x14ac:dyDescent="0.25">
      <c r="B28" s="3">
        <v>1</v>
      </c>
      <c r="C28" s="146">
        <f>B15</f>
        <v>0.1</v>
      </c>
      <c r="D28" s="143">
        <f>D27*(1+C28)*(1-$B$8-$B$9)</f>
        <v>107250.00000000001</v>
      </c>
      <c r="E28" s="3"/>
      <c r="F28" s="143">
        <f>F27*(1+$B$11)</f>
        <v>103000</v>
      </c>
      <c r="G28" s="3"/>
      <c r="H28" s="3"/>
      <c r="I28" s="3"/>
      <c r="J28" s="3">
        <f>$B$13*N28</f>
        <v>490</v>
      </c>
      <c r="K28" s="3"/>
      <c r="L28" s="143">
        <f>($B$8+$B$9)*D28</f>
        <v>2681.2500000000005</v>
      </c>
      <c r="M28" s="143">
        <f>L28*N28</f>
        <v>2627.6250000000005</v>
      </c>
      <c r="N28" s="144">
        <f>N27*(1-$B$14)</f>
        <v>0.98</v>
      </c>
    </row>
    <row r="29" spans="1:28" ht="15.75" x14ac:dyDescent="0.25">
      <c r="B29" s="3">
        <v>2</v>
      </c>
      <c r="C29" s="146">
        <f>C28</f>
        <v>0.1</v>
      </c>
      <c r="D29" s="143">
        <f>D28*(1+C29)*(1-$B$8-$B$9)</f>
        <v>115025.62500000003</v>
      </c>
      <c r="E29" s="3"/>
      <c r="F29" s="143">
        <f>F28*(1+$B$11)</f>
        <v>106090</v>
      </c>
      <c r="G29" s="3"/>
      <c r="H29" s="3"/>
      <c r="I29" s="3"/>
      <c r="J29" s="3">
        <f>$B$13*N29</f>
        <v>480.19999999999993</v>
      </c>
      <c r="K29" s="3"/>
      <c r="L29" s="143">
        <f>($B$8+$B$9)*D29</f>
        <v>2875.6406250000009</v>
      </c>
      <c r="M29" s="143">
        <f>L29*N29</f>
        <v>2761.7652562500007</v>
      </c>
      <c r="N29" s="144">
        <f>N28*(1-$B$14)</f>
        <v>0.96039999999999992</v>
      </c>
    </row>
    <row r="30" spans="1:28" ht="15.75" x14ac:dyDescent="0.25">
      <c r="B30" s="3">
        <v>3</v>
      </c>
      <c r="C30" s="146">
        <f>C29</f>
        <v>0.1</v>
      </c>
      <c r="D30" s="143">
        <f>D29*(1+C30)*(1-$B$8-$B$9)</f>
        <v>123364.98281250003</v>
      </c>
      <c r="E30" s="3"/>
      <c r="F30" s="143">
        <f>F29*(1+$B$11)</f>
        <v>109272.7</v>
      </c>
      <c r="G30" s="3"/>
      <c r="H30" s="3"/>
      <c r="I30" s="3"/>
      <c r="J30" s="3">
        <f>$B$13*N30</f>
        <v>470.59599999999995</v>
      </c>
      <c r="K30" s="3"/>
      <c r="L30" s="143">
        <f>($B$8+$B$9)*D30</f>
        <v>3084.124570312501</v>
      </c>
      <c r="M30" s="143">
        <f>L30*N30</f>
        <v>2902.7533725815633</v>
      </c>
      <c r="N30" s="144">
        <f>N29*(1-$B$14)</f>
        <v>0.94119199999999992</v>
      </c>
    </row>
    <row r="31" spans="1:28" ht="15.75" x14ac:dyDescent="0.25">
      <c r="B31" s="3">
        <v>4</v>
      </c>
      <c r="C31" s="146">
        <f>C30</f>
        <v>0.1</v>
      </c>
      <c r="D31" s="143">
        <f>D30*(1+C31)*(1-$B$8-$B$9)</f>
        <v>132308.94406640629</v>
      </c>
      <c r="E31" s="3"/>
      <c r="F31" s="143">
        <f>F30*(1+$B$11)</f>
        <v>112550.88099999999</v>
      </c>
      <c r="G31" s="3"/>
      <c r="H31" s="3"/>
      <c r="I31" s="3"/>
      <c r="J31" s="3">
        <f>$B$13*N31</f>
        <v>461.18407999999994</v>
      </c>
      <c r="K31" s="3"/>
      <c r="L31" s="143">
        <f>($B$8+$B$9)*D31</f>
        <v>3307.7236016601573</v>
      </c>
      <c r="M31" s="143">
        <f>L31*N31</f>
        <v>3050.9389322518518</v>
      </c>
      <c r="N31" s="144">
        <f>N30*(1-$B$14)</f>
        <v>0.92236815999999988</v>
      </c>
    </row>
    <row r="32" spans="1:28" ht="15.75" x14ac:dyDescent="0.25">
      <c r="B32" s="3">
        <v>5</v>
      </c>
      <c r="C32" s="146">
        <f>C31</f>
        <v>0.1</v>
      </c>
      <c r="D32" s="143">
        <f>D31*(1+C32)*(1-$B$8-$B$9)</f>
        <v>141901.34251122075</v>
      </c>
      <c r="E32" s="3"/>
      <c r="F32" s="143">
        <f>F31*(1+$B$11)</f>
        <v>115927.40742999999</v>
      </c>
      <c r="G32" s="3"/>
      <c r="H32" s="3"/>
      <c r="I32" s="3"/>
      <c r="J32" s="3">
        <f>$B$13*N32</f>
        <v>451.96039839999992</v>
      </c>
      <c r="K32" s="3"/>
      <c r="L32" s="143">
        <f>($B$8+$B$9)*D32</f>
        <v>3547.5335627805189</v>
      </c>
      <c r="M32" s="143">
        <f>L32*N32</f>
        <v>3206.6893647433089</v>
      </c>
      <c r="N32" s="144">
        <f>N31*(1-$B$14)</f>
        <v>0.90392079679999982</v>
      </c>
    </row>
    <row r="33" spans="1:14" ht="15.75" x14ac:dyDescent="0.25">
      <c r="B33" s="3">
        <v>6</v>
      </c>
      <c r="C33" s="146">
        <f>C32</f>
        <v>0.1</v>
      </c>
      <c r="D33" s="143">
        <f>D32*(1+C33)*(1-$B$8-$B$9)</f>
        <v>152189.18984328429</v>
      </c>
      <c r="E33" s="3"/>
      <c r="F33" s="143">
        <f>F32*(1+$B$11)</f>
        <v>119405.2296529</v>
      </c>
      <c r="G33" s="3"/>
      <c r="H33" s="3"/>
      <c r="I33" s="3"/>
      <c r="J33" s="3">
        <f>$B$13*N33</f>
        <v>442.92119043199989</v>
      </c>
      <c r="K33" s="3"/>
      <c r="L33" s="143">
        <f>($B$8+$B$9)*D33</f>
        <v>3804.7297460821073</v>
      </c>
      <c r="M33" s="143">
        <f>L33*N33</f>
        <v>3370.3908568134552</v>
      </c>
      <c r="N33" s="144">
        <f>N32*(1-$B$14)</f>
        <v>0.8858423808639998</v>
      </c>
    </row>
    <row r="34" spans="1:14" ht="15.75" x14ac:dyDescent="0.25">
      <c r="B34" s="3">
        <v>7</v>
      </c>
      <c r="C34" s="146">
        <f>C33</f>
        <v>0.1</v>
      </c>
      <c r="D34" s="143">
        <f>D33*(1+C34)*(1-$B$8-$B$9)</f>
        <v>163222.90610692243</v>
      </c>
      <c r="E34" s="3"/>
      <c r="F34" s="143">
        <f>F33*(1+$B$11)</f>
        <v>122987.386542487</v>
      </c>
      <c r="G34" s="3"/>
      <c r="H34" s="3"/>
      <c r="I34" s="3"/>
      <c r="J34" s="3">
        <f>$B$13*N34</f>
        <v>434.06276662335989</v>
      </c>
      <c r="K34" s="3"/>
      <c r="L34" s="143">
        <f>($B$8+$B$9)*D34</f>
        <v>4080.5726526730609</v>
      </c>
      <c r="M34" s="143">
        <f>L34*N34</f>
        <v>3542.4493100537829</v>
      </c>
      <c r="N34" s="144">
        <f>N33*(1-$B$14)</f>
        <v>0.86812553324671982</v>
      </c>
    </row>
    <row r="35" spans="1:14" ht="15.75" x14ac:dyDescent="0.25">
      <c r="B35" s="3">
        <v>8</v>
      </c>
      <c r="C35" s="146">
        <f>C34</f>
        <v>0.1</v>
      </c>
      <c r="D35" s="143">
        <f>D34*(1+C35)*(1-$B$8-$B$9)</f>
        <v>175056.56679967433</v>
      </c>
      <c r="E35" s="3"/>
      <c r="F35" s="143">
        <f>F34*(1+$B$11)</f>
        <v>126677.00813876161</v>
      </c>
      <c r="G35" s="3"/>
      <c r="H35" s="3"/>
      <c r="I35" s="3"/>
      <c r="J35" s="3">
        <f>$B$13*N35</f>
        <v>425.38151129089266</v>
      </c>
      <c r="K35" s="3"/>
      <c r="L35" s="143">
        <f>($B$8+$B$9)*D35</f>
        <v>4376.4141699918582</v>
      </c>
      <c r="M35" s="143">
        <f>L35*N35</f>
        <v>3723.2913473320286</v>
      </c>
      <c r="N35" s="144">
        <f>N34*(1-$B$14)</f>
        <v>0.85076302258178538</v>
      </c>
    </row>
    <row r="36" spans="1:14" ht="15.75" x14ac:dyDescent="0.25">
      <c r="B36" s="3">
        <v>9</v>
      </c>
      <c r="C36" s="146">
        <f>C35</f>
        <v>0.1</v>
      </c>
      <c r="D36" s="143">
        <f>D35*(1+C36)*(1-$B$8-$B$9)</f>
        <v>187748.16789265073</v>
      </c>
      <c r="E36" s="3"/>
      <c r="F36" s="143">
        <f>F35*(1+$B$11)</f>
        <v>130477.31838292447</v>
      </c>
      <c r="G36" s="3"/>
      <c r="H36" s="3"/>
      <c r="I36" s="3"/>
      <c r="J36" s="3">
        <f>$B$13*N36</f>
        <v>416.87388106507484</v>
      </c>
      <c r="K36" s="3"/>
      <c r="L36" s="143">
        <f>($B$8+$B$9)*D36</f>
        <v>4693.7041973162686</v>
      </c>
      <c r="M36" s="143">
        <f>L36*N36</f>
        <v>3913.3653706133296</v>
      </c>
      <c r="N36" s="144">
        <f>N35*(1-$B$14)</f>
        <v>0.83374776213014967</v>
      </c>
    </row>
    <row r="37" spans="1:14" ht="15.75" x14ac:dyDescent="0.25">
      <c r="B37" s="3">
        <v>10</v>
      </c>
      <c r="C37" s="146">
        <f>C36</f>
        <v>0.1</v>
      </c>
      <c r="D37" s="143">
        <f>D36*(1+C37)*(1-$B$8-$B$9)</f>
        <v>201359.9100648679</v>
      </c>
      <c r="E37" s="3"/>
      <c r="F37" s="143">
        <f>F36*(1+$B$11)</f>
        <v>134391.6379344122</v>
      </c>
      <c r="G37" s="145">
        <f>MAX(F37-D37, 0)</f>
        <v>0</v>
      </c>
      <c r="H37" s="3"/>
      <c r="I37" s="3"/>
      <c r="J37" s="3"/>
      <c r="K37" s="3"/>
      <c r="L37" s="3"/>
      <c r="M37" s="3"/>
      <c r="N37" s="144"/>
    </row>
    <row r="38" spans="1:14" ht="15.75" x14ac:dyDescent="0.25">
      <c r="B38" s="3"/>
      <c r="C38" s="3"/>
      <c r="D38" s="3"/>
      <c r="E38" s="3"/>
      <c r="F38" s="3"/>
      <c r="G38" s="3"/>
      <c r="H38" s="3"/>
      <c r="I38" s="143">
        <f>I27</f>
        <v>6000</v>
      </c>
      <c r="J38" s="143">
        <f>NPV($B$17,J28:J36)+J27</f>
        <v>3882.7956989887157</v>
      </c>
      <c r="K38" s="3"/>
      <c r="L38" s="3"/>
      <c r="M38" s="143">
        <f>NPV($B$17,M28:M36)+M27</f>
        <v>26229.817505944906</v>
      </c>
      <c r="N38" s="3"/>
    </row>
    <row r="39" spans="1:14" ht="15.75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1" spans="1:14" ht="15.75" x14ac:dyDescent="0.25">
      <c r="A41" s="23" t="s">
        <v>191</v>
      </c>
      <c r="B41" s="24"/>
      <c r="C41" s="24"/>
    </row>
  </sheetData>
  <mergeCells count="1">
    <mergeCell ref="A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05D8-42A8-43DE-885C-5D353BFDD51A}">
  <dimension ref="A1:M38"/>
  <sheetViews>
    <sheetView topLeftCell="A15" workbookViewId="0">
      <selection activeCell="C33" sqref="C33"/>
    </sheetView>
  </sheetViews>
  <sheetFormatPr defaultColWidth="9.140625" defaultRowHeight="15" x14ac:dyDescent="0.25"/>
  <cols>
    <col min="1" max="1" width="41.140625" style="2" customWidth="1"/>
    <col min="2" max="7" width="8.28515625" style="2" customWidth="1"/>
    <col min="8" max="16384" width="9.140625" style="2"/>
  </cols>
  <sheetData>
    <row r="1" spans="1:13" ht="18.75" x14ac:dyDescent="0.25">
      <c r="A1" s="4" t="s">
        <v>249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</row>
    <row r="2" spans="1:13" ht="18.75" x14ac:dyDescent="0.25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</row>
    <row r="3" spans="1:13" ht="15.75" x14ac:dyDescent="0.25">
      <c r="A3" s="6" t="s">
        <v>248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</row>
    <row r="4" spans="1:13" ht="15.75" x14ac:dyDescent="0.25">
      <c r="A4" s="6"/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</row>
    <row r="5" spans="1:13" ht="16.5" thickBot="1" x14ac:dyDescent="0.3">
      <c r="A5" s="20" t="s">
        <v>247</v>
      </c>
      <c r="B5" s="7"/>
      <c r="C5" s="7"/>
      <c r="D5" s="7"/>
      <c r="E5" s="7"/>
      <c r="F5" s="7"/>
      <c r="G5" s="6"/>
      <c r="H5" s="6"/>
      <c r="I5" s="6"/>
      <c r="J5" s="6"/>
      <c r="K5" s="6"/>
      <c r="L5" s="6"/>
      <c r="M5" s="6"/>
    </row>
    <row r="6" spans="1:13" s="3" customFormat="1" ht="16.5" thickBot="1" x14ac:dyDescent="0.3">
      <c r="A6" s="170" t="s">
        <v>246</v>
      </c>
      <c r="B6" s="169">
        <v>1</v>
      </c>
      <c r="C6" s="169">
        <v>2</v>
      </c>
      <c r="D6" s="169">
        <v>3</v>
      </c>
      <c r="E6" s="169">
        <v>4</v>
      </c>
      <c r="F6" s="169">
        <v>5</v>
      </c>
      <c r="G6" s="168">
        <v>6</v>
      </c>
      <c r="H6" s="6"/>
      <c r="I6" s="6"/>
      <c r="J6" s="6"/>
      <c r="K6" s="6"/>
      <c r="L6" s="6"/>
      <c r="M6" s="6"/>
    </row>
    <row r="7" spans="1:13" s="3" customFormat="1" ht="15.75" x14ac:dyDescent="0.25">
      <c r="A7" s="167" t="s">
        <v>245</v>
      </c>
      <c r="B7" s="69">
        <v>650</v>
      </c>
      <c r="C7" s="69">
        <v>530</v>
      </c>
      <c r="D7" s="69">
        <v>479</v>
      </c>
      <c r="E7" s="69">
        <v>440</v>
      </c>
      <c r="F7" s="69">
        <v>410</v>
      </c>
      <c r="G7" s="166">
        <v>390</v>
      </c>
      <c r="H7" s="6"/>
      <c r="I7" s="6"/>
      <c r="J7" s="6"/>
      <c r="K7" s="6"/>
      <c r="L7" s="6"/>
      <c r="M7" s="6"/>
    </row>
    <row r="8" spans="1:13" s="1" customFormat="1" ht="15.75" x14ac:dyDescent="0.25">
      <c r="A8" s="167" t="s">
        <v>244</v>
      </c>
      <c r="B8" s="69">
        <v>90</v>
      </c>
      <c r="C8" s="69">
        <v>115</v>
      </c>
      <c r="D8" s="69">
        <v>143</v>
      </c>
      <c r="E8" s="69">
        <v>161</v>
      </c>
      <c r="F8" s="69">
        <v>170</v>
      </c>
      <c r="G8" s="166">
        <v>180</v>
      </c>
      <c r="H8" s="6"/>
      <c r="I8" s="6"/>
      <c r="J8" s="6"/>
      <c r="K8" s="6"/>
      <c r="L8" s="6"/>
      <c r="M8" s="6"/>
    </row>
    <row r="9" spans="1:13" s="1" customFormat="1" ht="15.75" x14ac:dyDescent="0.25">
      <c r="A9" s="167" t="s">
        <v>243</v>
      </c>
      <c r="B9" s="69">
        <v>1300</v>
      </c>
      <c r="C9" s="69">
        <v>125</v>
      </c>
      <c r="D9" s="69">
        <v>110</v>
      </c>
      <c r="E9" s="69">
        <v>70</v>
      </c>
      <c r="F9" s="69">
        <v>65</v>
      </c>
      <c r="G9" s="166">
        <v>55</v>
      </c>
      <c r="H9" s="6"/>
      <c r="I9" s="6"/>
      <c r="J9" s="6"/>
      <c r="K9" s="6"/>
      <c r="L9" s="6"/>
      <c r="M9" s="6"/>
    </row>
    <row r="10" spans="1:13" s="1" customFormat="1" ht="15.75" x14ac:dyDescent="0.25">
      <c r="A10" s="167" t="s">
        <v>242</v>
      </c>
      <c r="B10" s="69">
        <v>-49</v>
      </c>
      <c r="C10" s="69">
        <v>33</v>
      </c>
      <c r="D10" s="69">
        <v>38</v>
      </c>
      <c r="E10" s="69">
        <v>44</v>
      </c>
      <c r="F10" s="69">
        <v>46</v>
      </c>
      <c r="G10" s="166">
        <v>45</v>
      </c>
      <c r="H10" s="6"/>
      <c r="I10" s="6"/>
      <c r="J10" s="6"/>
      <c r="K10" s="6"/>
      <c r="L10" s="6"/>
      <c r="M10" s="6"/>
    </row>
    <row r="11" spans="1:13" s="1" customFormat="1" ht="15.75" customHeight="1" x14ac:dyDescent="0.25">
      <c r="A11" s="167" t="s">
        <v>241</v>
      </c>
      <c r="B11" s="69">
        <v>0</v>
      </c>
      <c r="C11" s="69">
        <v>8</v>
      </c>
      <c r="D11" s="69">
        <v>7</v>
      </c>
      <c r="E11" s="69">
        <v>7</v>
      </c>
      <c r="F11" s="69">
        <v>7</v>
      </c>
      <c r="G11" s="166">
        <v>7</v>
      </c>
      <c r="H11" s="6"/>
      <c r="I11" s="6"/>
      <c r="J11" s="6"/>
      <c r="K11" s="6"/>
      <c r="L11" s="6"/>
      <c r="M11" s="6"/>
    </row>
    <row r="12" spans="1:13" s="3" customFormat="1" ht="15.75" x14ac:dyDescent="0.25">
      <c r="A12" s="167" t="s">
        <v>240</v>
      </c>
      <c r="B12" s="69">
        <v>369</v>
      </c>
      <c r="C12" s="69">
        <v>-37</v>
      </c>
      <c r="D12" s="69">
        <v>-27</v>
      </c>
      <c r="E12" s="69">
        <v>-35</v>
      </c>
      <c r="F12" s="69">
        <v>-36</v>
      </c>
      <c r="G12" s="166">
        <v>-38</v>
      </c>
      <c r="H12" s="6"/>
      <c r="I12" s="6"/>
      <c r="J12" s="6"/>
      <c r="K12" s="6"/>
      <c r="L12" s="6"/>
      <c r="M12" s="6"/>
    </row>
    <row r="13" spans="1:13" s="3" customFormat="1" ht="15.75" x14ac:dyDescent="0.25">
      <c r="A13" s="167" t="s">
        <v>239</v>
      </c>
      <c r="B13" s="69">
        <v>-351</v>
      </c>
      <c r="C13" s="69">
        <v>79</v>
      </c>
      <c r="D13" s="69">
        <v>71</v>
      </c>
      <c r="E13" s="69">
        <v>78</v>
      </c>
      <c r="F13" s="69">
        <v>76</v>
      </c>
      <c r="G13" s="166">
        <v>77</v>
      </c>
      <c r="H13" s="6"/>
      <c r="I13" s="6"/>
      <c r="J13" s="6"/>
      <c r="K13" s="6"/>
      <c r="L13" s="6"/>
      <c r="M13" s="6"/>
    </row>
    <row r="14" spans="1:13" s="3" customFormat="1" ht="16.5" thickBot="1" x14ac:dyDescent="0.3">
      <c r="A14" s="165" t="s">
        <v>238</v>
      </c>
      <c r="B14" s="164">
        <v>0</v>
      </c>
      <c r="C14" s="164">
        <v>4</v>
      </c>
      <c r="D14" s="164">
        <v>3</v>
      </c>
      <c r="E14" s="164">
        <v>3</v>
      </c>
      <c r="F14" s="164">
        <v>3</v>
      </c>
      <c r="G14" s="163">
        <v>3</v>
      </c>
      <c r="H14" s="6"/>
      <c r="I14" s="6"/>
      <c r="J14" s="6"/>
      <c r="K14" s="6"/>
      <c r="L14" s="6"/>
      <c r="M14" s="6"/>
    </row>
    <row r="15" spans="1:13" s="3" customFormat="1" ht="15.75" x14ac:dyDescent="0.25">
      <c r="A15" s="7"/>
      <c r="B15" s="70"/>
      <c r="C15" s="70"/>
      <c r="D15" s="69"/>
      <c r="E15" s="70"/>
      <c r="F15" s="69"/>
      <c r="G15" s="6"/>
      <c r="H15" s="6"/>
      <c r="I15" s="6"/>
      <c r="J15" s="6"/>
      <c r="K15" s="6"/>
      <c r="L15" s="6"/>
      <c r="M15" s="6"/>
    </row>
    <row r="16" spans="1:13" s="3" customFormat="1" ht="16.5" thickBot="1" x14ac:dyDescent="0.3">
      <c r="A16" s="6" t="s">
        <v>237</v>
      </c>
      <c r="B16" s="7"/>
      <c r="C16" s="7"/>
      <c r="D16" s="7"/>
      <c r="E16" s="7"/>
      <c r="F16" s="7"/>
      <c r="G16" s="6"/>
      <c r="H16" s="6"/>
      <c r="I16" s="6"/>
      <c r="J16" s="6"/>
      <c r="K16" s="6"/>
      <c r="L16" s="6"/>
      <c r="M16" s="6"/>
    </row>
    <row r="17" spans="1:13" s="3" customFormat="1" ht="16.5" thickBot="1" x14ac:dyDescent="0.3">
      <c r="A17" s="170" t="s">
        <v>236</v>
      </c>
      <c r="B17" s="169">
        <v>1</v>
      </c>
      <c r="C17" s="169">
        <v>2</v>
      </c>
      <c r="D17" s="169">
        <v>3</v>
      </c>
      <c r="E17" s="169">
        <v>4</v>
      </c>
      <c r="F17" s="169">
        <v>5</v>
      </c>
      <c r="G17" s="168">
        <v>6</v>
      </c>
      <c r="H17" s="6"/>
      <c r="I17" s="6"/>
      <c r="J17" s="6"/>
      <c r="K17" s="6"/>
      <c r="L17" s="6"/>
      <c r="M17" s="6"/>
    </row>
    <row r="18" spans="1:13" s="3" customFormat="1" ht="15.75" x14ac:dyDescent="0.25">
      <c r="A18" s="167" t="s">
        <v>235</v>
      </c>
      <c r="B18" s="69">
        <v>120</v>
      </c>
      <c r="C18" s="69">
        <v>240</v>
      </c>
      <c r="D18" s="69">
        <v>330</v>
      </c>
      <c r="E18" s="69">
        <v>380</v>
      </c>
      <c r="F18" s="69">
        <v>400</v>
      </c>
      <c r="G18" s="166">
        <v>390</v>
      </c>
      <c r="H18" s="6"/>
      <c r="I18" s="6"/>
      <c r="J18" s="6"/>
      <c r="K18" s="6"/>
      <c r="L18" s="6"/>
      <c r="M18" s="6"/>
    </row>
    <row r="19" spans="1:13" s="3" customFormat="1" ht="15.75" x14ac:dyDescent="0.25">
      <c r="A19" s="167" t="s">
        <v>234</v>
      </c>
      <c r="B19" s="69">
        <v>190</v>
      </c>
      <c r="C19" s="69">
        <v>310</v>
      </c>
      <c r="D19" s="69">
        <v>380</v>
      </c>
      <c r="E19" s="69">
        <v>400</v>
      </c>
      <c r="F19" s="69">
        <v>410</v>
      </c>
      <c r="G19" s="166">
        <v>380</v>
      </c>
      <c r="H19" s="6"/>
      <c r="I19" s="6"/>
      <c r="J19" s="6"/>
      <c r="K19" s="6"/>
      <c r="L19" s="6"/>
      <c r="M19" s="6"/>
    </row>
    <row r="20" spans="1:13" s="3" customFormat="1" ht="28.5" customHeight="1" x14ac:dyDescent="0.25">
      <c r="A20" s="167" t="s">
        <v>233</v>
      </c>
      <c r="B20" s="69">
        <v>102</v>
      </c>
      <c r="C20" s="69">
        <v>99</v>
      </c>
      <c r="D20" s="69">
        <v>97</v>
      </c>
      <c r="E20" s="69">
        <v>93</v>
      </c>
      <c r="F20" s="69">
        <v>90</v>
      </c>
      <c r="G20" s="166">
        <v>87</v>
      </c>
      <c r="H20" s="6"/>
      <c r="I20" s="6"/>
      <c r="J20" s="6"/>
      <c r="K20" s="6"/>
      <c r="L20" s="6"/>
      <c r="M20" s="6"/>
    </row>
    <row r="21" spans="1:13" s="3" customFormat="1" ht="16.5" thickBot="1" x14ac:dyDescent="0.3">
      <c r="A21" s="165" t="s">
        <v>232</v>
      </c>
      <c r="B21" s="164">
        <v>1050</v>
      </c>
      <c r="C21" s="164">
        <v>950</v>
      </c>
      <c r="D21" s="164">
        <v>870</v>
      </c>
      <c r="E21" s="164">
        <v>750</v>
      </c>
      <c r="F21" s="164">
        <v>630</v>
      </c>
      <c r="G21" s="163">
        <v>510</v>
      </c>
      <c r="H21" s="6"/>
      <c r="I21" s="6"/>
      <c r="J21" s="6"/>
      <c r="K21" s="6"/>
      <c r="L21" s="6"/>
      <c r="M21" s="6"/>
    </row>
    <row r="22" spans="1:13" s="3" customFormat="1" ht="15.75" x14ac:dyDescent="0.25">
      <c r="A22" s="7"/>
      <c r="B22" s="70"/>
      <c r="C22" s="70"/>
      <c r="D22" s="69"/>
      <c r="E22" s="70"/>
      <c r="F22" s="69"/>
      <c r="G22" s="6"/>
      <c r="H22" s="6"/>
      <c r="I22" s="6"/>
      <c r="J22" s="6"/>
      <c r="K22" s="6"/>
      <c r="L22" s="6"/>
      <c r="M22" s="6"/>
    </row>
    <row r="23" spans="1:13" s="3" customFormat="1" ht="15.75" x14ac:dyDescent="0.25">
      <c r="A23" s="71" t="s">
        <v>231</v>
      </c>
      <c r="B23" s="162"/>
      <c r="C23" s="20"/>
      <c r="D23" s="20"/>
      <c r="E23" s="70"/>
      <c r="F23" s="69"/>
      <c r="G23" s="6"/>
      <c r="H23" s="6"/>
      <c r="I23" s="6"/>
      <c r="J23" s="6"/>
      <c r="K23" s="6"/>
      <c r="L23" s="6"/>
      <c r="M23" s="6"/>
    </row>
    <row r="24" spans="1:13" ht="15.7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6" spans="1:13" ht="15.75" x14ac:dyDescent="0.25">
      <c r="A26" s="1" t="s">
        <v>0</v>
      </c>
    </row>
    <row r="27" spans="1:13" x14ac:dyDescent="0.25">
      <c r="B27" s="21"/>
    </row>
    <row r="28" spans="1:13" x14ac:dyDescent="0.25">
      <c r="A28" s="2" t="s">
        <v>1</v>
      </c>
      <c r="B28" s="21" t="s">
        <v>27</v>
      </c>
    </row>
    <row r="30" spans="1:13" x14ac:dyDescent="0.25">
      <c r="A30" s="2" t="s">
        <v>230</v>
      </c>
      <c r="B30" s="21">
        <f>B7-B8-B9</f>
        <v>-740</v>
      </c>
      <c r="C30" s="21">
        <f>C7-C8-C9</f>
        <v>290</v>
      </c>
      <c r="D30" s="21">
        <f>D7-D8-D9</f>
        <v>226</v>
      </c>
      <c r="E30" s="21">
        <f>E7-E8-E9</f>
        <v>209</v>
      </c>
      <c r="F30" s="21">
        <f>F7-F8-F9</f>
        <v>175</v>
      </c>
      <c r="G30" s="21">
        <f>G7-G8-G9</f>
        <v>155</v>
      </c>
      <c r="H30" s="2" t="s">
        <v>229</v>
      </c>
    </row>
    <row r="31" spans="1:13" x14ac:dyDescent="0.25">
      <c r="A31" s="2" t="s">
        <v>228</v>
      </c>
      <c r="B31" s="21">
        <f>B19</f>
        <v>190</v>
      </c>
      <c r="C31" s="2">
        <f>C19-B19</f>
        <v>120</v>
      </c>
      <c r="D31" s="2">
        <f>D19-C19</f>
        <v>70</v>
      </c>
      <c r="E31" s="2">
        <f>E19-D19</f>
        <v>20</v>
      </c>
      <c r="F31" s="2">
        <f>F19-E19</f>
        <v>10</v>
      </c>
      <c r="G31" s="2">
        <f>G19-F19</f>
        <v>-30</v>
      </c>
      <c r="H31" s="2" t="s">
        <v>227</v>
      </c>
    </row>
    <row r="32" spans="1:13" x14ac:dyDescent="0.25">
      <c r="A32" s="2" t="s">
        <v>226</v>
      </c>
      <c r="B32" s="21">
        <f>-B21</f>
        <v>-1050</v>
      </c>
      <c r="C32" s="2">
        <f>B21-C21</f>
        <v>100</v>
      </c>
      <c r="D32" s="2">
        <f>C21-D21</f>
        <v>80</v>
      </c>
      <c r="E32" s="2">
        <f>D21-E21</f>
        <v>120</v>
      </c>
      <c r="F32" s="2">
        <f>E21-F21</f>
        <v>120</v>
      </c>
      <c r="G32" s="2">
        <f>F21-G21</f>
        <v>120</v>
      </c>
      <c r="H32" s="2" t="s">
        <v>225</v>
      </c>
    </row>
    <row r="33" spans="1:8" x14ac:dyDescent="0.25">
      <c r="A33" s="2" t="s">
        <v>224</v>
      </c>
      <c r="B33" s="21">
        <f>B30-B31-B32+B10+B11</f>
        <v>71</v>
      </c>
      <c r="C33" s="21">
        <f>C30-C31-C32+C10+C11</f>
        <v>111</v>
      </c>
      <c r="D33" s="21">
        <f>D30-D31-D32+D10+D11</f>
        <v>121</v>
      </c>
      <c r="E33" s="21">
        <f>E30-E31-E32+E10+E11</f>
        <v>120</v>
      </c>
      <c r="F33" s="21">
        <f>F30-F31-F32+F10+F11</f>
        <v>98</v>
      </c>
      <c r="G33" s="21">
        <f>G30-G31-G32+G10+G11</f>
        <v>117</v>
      </c>
      <c r="H33" s="2" t="s">
        <v>223</v>
      </c>
    </row>
    <row r="34" spans="1:8" x14ac:dyDescent="0.25">
      <c r="A34" s="2" t="s">
        <v>222</v>
      </c>
      <c r="B34" s="29">
        <f>B33-SUM(B12:B14)</f>
        <v>53</v>
      </c>
      <c r="C34" s="29">
        <f>C33-SUM(C12:C14)</f>
        <v>65</v>
      </c>
      <c r="D34" s="29">
        <f>D33-SUM(D12:D14)</f>
        <v>74</v>
      </c>
      <c r="E34" s="29">
        <f>E33-SUM(E12:E14)</f>
        <v>74</v>
      </c>
      <c r="F34" s="29">
        <f>F33-SUM(F12:F14)</f>
        <v>55</v>
      </c>
      <c r="G34" s="29">
        <f>G33-SUM(G12:G14)</f>
        <v>75</v>
      </c>
      <c r="H34" s="2" t="s">
        <v>221</v>
      </c>
    </row>
    <row r="35" spans="1:8" x14ac:dyDescent="0.25">
      <c r="B35" s="21"/>
    </row>
    <row r="36" spans="1:8" ht="29.25" x14ac:dyDescent="0.25">
      <c r="A36" s="161" t="s">
        <v>220</v>
      </c>
      <c r="B36" s="22">
        <f>B34</f>
        <v>53</v>
      </c>
      <c r="C36" s="22">
        <f>C34</f>
        <v>65</v>
      </c>
      <c r="D36" s="22">
        <f>D34</f>
        <v>74</v>
      </c>
      <c r="E36" s="22">
        <f>E34</f>
        <v>74</v>
      </c>
      <c r="F36" s="22">
        <f>F34</f>
        <v>55</v>
      </c>
      <c r="G36" s="22">
        <f>G34</f>
        <v>75</v>
      </c>
    </row>
    <row r="38" spans="1:8" ht="15.75" x14ac:dyDescent="0.25">
      <c r="A38" s="23" t="s">
        <v>219</v>
      </c>
      <c r="B38" s="5"/>
      <c r="C38" s="5"/>
      <c r="D38" s="5"/>
      <c r="E38" s="5"/>
    </row>
  </sheetData>
  <pageMargins left="0.7" right="0.7" top="0.75" bottom="0.75" header="0.3" footer="0.3"/>
  <pageSetup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D8B62-6A94-4F35-A53B-56E26147DA53}">
  <dimension ref="A1:M45"/>
  <sheetViews>
    <sheetView tabSelected="1" topLeftCell="A16" workbookViewId="0">
      <selection activeCell="A38" sqref="A38"/>
    </sheetView>
  </sheetViews>
  <sheetFormatPr defaultColWidth="9.140625" defaultRowHeight="15" x14ac:dyDescent="0.25"/>
  <cols>
    <col min="1" max="1" width="39.5703125" style="2" customWidth="1"/>
    <col min="2" max="7" width="8.28515625" style="2" customWidth="1"/>
    <col min="8" max="16384" width="9.140625" style="2"/>
  </cols>
  <sheetData>
    <row r="1" spans="1:13" ht="18.75" x14ac:dyDescent="0.25">
      <c r="A1" s="4" t="s">
        <v>268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</row>
    <row r="2" spans="1:13" ht="18.75" x14ac:dyDescent="0.25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</row>
    <row r="3" spans="1:13" ht="15.75" x14ac:dyDescent="0.25">
      <c r="A3" s="6" t="s">
        <v>248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</row>
    <row r="4" spans="1:13" ht="15.75" x14ac:dyDescent="0.25">
      <c r="A4" s="6"/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</row>
    <row r="5" spans="1:13" ht="16.5" thickBot="1" x14ac:dyDescent="0.3">
      <c r="A5" s="20" t="s">
        <v>247</v>
      </c>
      <c r="B5" s="7"/>
      <c r="C5" s="7"/>
      <c r="D5" s="7"/>
      <c r="E5" s="7"/>
      <c r="F5" s="7"/>
      <c r="G5" s="6"/>
      <c r="H5" s="6"/>
      <c r="I5" s="6"/>
      <c r="J5" s="6"/>
      <c r="K5" s="6"/>
      <c r="L5" s="6"/>
      <c r="M5" s="6"/>
    </row>
    <row r="6" spans="1:13" s="3" customFormat="1" ht="16.5" thickBot="1" x14ac:dyDescent="0.3">
      <c r="A6" s="170" t="s">
        <v>246</v>
      </c>
      <c r="B6" s="169">
        <v>1</v>
      </c>
      <c r="C6" s="169">
        <v>2</v>
      </c>
      <c r="D6" s="169">
        <v>3</v>
      </c>
      <c r="E6" s="169">
        <v>4</v>
      </c>
      <c r="F6" s="169">
        <v>5</v>
      </c>
      <c r="G6" s="168">
        <v>6</v>
      </c>
      <c r="H6" s="6"/>
      <c r="I6" s="6"/>
      <c r="J6" s="6"/>
      <c r="K6" s="6"/>
      <c r="L6" s="6"/>
      <c r="M6" s="6"/>
    </row>
    <row r="7" spans="1:13" s="3" customFormat="1" ht="15.75" x14ac:dyDescent="0.25">
      <c r="A7" s="167" t="s">
        <v>245</v>
      </c>
      <c r="B7" s="69">
        <v>650</v>
      </c>
      <c r="C7" s="69">
        <v>530</v>
      </c>
      <c r="D7" s="69">
        <v>479</v>
      </c>
      <c r="E7" s="69">
        <v>440</v>
      </c>
      <c r="F7" s="69">
        <v>410</v>
      </c>
      <c r="G7" s="166">
        <v>390</v>
      </c>
      <c r="H7" s="6"/>
      <c r="I7" s="6"/>
      <c r="J7" s="6"/>
      <c r="K7" s="6"/>
      <c r="L7" s="6"/>
      <c r="M7" s="6"/>
    </row>
    <row r="8" spans="1:13" s="1" customFormat="1" ht="15.75" x14ac:dyDescent="0.25">
      <c r="A8" s="167" t="s">
        <v>244</v>
      </c>
      <c r="B8" s="69">
        <v>90</v>
      </c>
      <c r="C8" s="69">
        <v>115</v>
      </c>
      <c r="D8" s="69">
        <v>143</v>
      </c>
      <c r="E8" s="69">
        <v>161</v>
      </c>
      <c r="F8" s="69">
        <v>170</v>
      </c>
      <c r="G8" s="166">
        <v>180</v>
      </c>
      <c r="H8" s="6"/>
      <c r="I8" s="6"/>
      <c r="J8" s="6"/>
      <c r="K8" s="6"/>
      <c r="L8" s="6"/>
      <c r="M8" s="6"/>
    </row>
    <row r="9" spans="1:13" s="1" customFormat="1" ht="15.75" x14ac:dyDescent="0.25">
      <c r="A9" s="167" t="s">
        <v>243</v>
      </c>
      <c r="B9" s="69">
        <v>1300</v>
      </c>
      <c r="C9" s="69">
        <v>125</v>
      </c>
      <c r="D9" s="69">
        <v>110</v>
      </c>
      <c r="E9" s="69">
        <v>70</v>
      </c>
      <c r="F9" s="69">
        <v>65</v>
      </c>
      <c r="G9" s="166">
        <v>55</v>
      </c>
      <c r="H9" s="6"/>
      <c r="I9" s="6"/>
      <c r="J9" s="6"/>
      <c r="K9" s="6"/>
      <c r="L9" s="6"/>
      <c r="M9" s="6"/>
    </row>
    <row r="10" spans="1:13" s="1" customFormat="1" ht="15.75" x14ac:dyDescent="0.25">
      <c r="A10" s="167" t="s">
        <v>242</v>
      </c>
      <c r="B10" s="69">
        <v>-49</v>
      </c>
      <c r="C10" s="69">
        <v>33</v>
      </c>
      <c r="D10" s="69">
        <v>38</v>
      </c>
      <c r="E10" s="69">
        <v>44</v>
      </c>
      <c r="F10" s="69">
        <v>46</v>
      </c>
      <c r="G10" s="166">
        <v>45</v>
      </c>
      <c r="H10" s="6"/>
      <c r="I10" s="6"/>
      <c r="J10" s="6"/>
      <c r="K10" s="6"/>
      <c r="L10" s="6"/>
      <c r="M10" s="6"/>
    </row>
    <row r="11" spans="1:13" s="1" customFormat="1" ht="15.75" customHeight="1" x14ac:dyDescent="0.25">
      <c r="A11" s="167" t="s">
        <v>241</v>
      </c>
      <c r="B11" s="69">
        <v>0</v>
      </c>
      <c r="C11" s="69">
        <v>8</v>
      </c>
      <c r="D11" s="69">
        <v>7</v>
      </c>
      <c r="E11" s="69">
        <v>7</v>
      </c>
      <c r="F11" s="69">
        <v>7</v>
      </c>
      <c r="G11" s="166">
        <v>7</v>
      </c>
      <c r="H11" s="6"/>
      <c r="I11" s="6"/>
      <c r="J11" s="6"/>
      <c r="K11" s="6"/>
      <c r="L11" s="6"/>
      <c r="M11" s="6"/>
    </row>
    <row r="12" spans="1:13" s="3" customFormat="1" ht="15.75" x14ac:dyDescent="0.25">
      <c r="A12" s="167" t="s">
        <v>240</v>
      </c>
      <c r="B12" s="69">
        <v>369</v>
      </c>
      <c r="C12" s="69">
        <v>-37</v>
      </c>
      <c r="D12" s="69">
        <v>-27</v>
      </c>
      <c r="E12" s="69">
        <v>-35</v>
      </c>
      <c r="F12" s="69">
        <v>-36</v>
      </c>
      <c r="G12" s="166">
        <v>-38</v>
      </c>
      <c r="H12" s="6"/>
      <c r="I12" s="6"/>
      <c r="J12" s="6"/>
      <c r="K12" s="6"/>
      <c r="L12" s="6"/>
      <c r="M12" s="6"/>
    </row>
    <row r="13" spans="1:13" s="3" customFormat="1" ht="15.75" x14ac:dyDescent="0.25">
      <c r="A13" s="167" t="s">
        <v>239</v>
      </c>
      <c r="B13" s="69">
        <v>-351</v>
      </c>
      <c r="C13" s="69">
        <v>79</v>
      </c>
      <c r="D13" s="69">
        <v>71</v>
      </c>
      <c r="E13" s="69">
        <v>78</v>
      </c>
      <c r="F13" s="69">
        <v>76</v>
      </c>
      <c r="G13" s="166">
        <v>77</v>
      </c>
      <c r="H13" s="6"/>
      <c r="I13" s="6"/>
      <c r="J13" s="6"/>
      <c r="K13" s="6"/>
      <c r="L13" s="6"/>
      <c r="M13" s="6"/>
    </row>
    <row r="14" spans="1:13" s="3" customFormat="1" ht="16.5" thickBot="1" x14ac:dyDescent="0.3">
      <c r="A14" s="165" t="s">
        <v>238</v>
      </c>
      <c r="B14" s="164">
        <v>0</v>
      </c>
      <c r="C14" s="164">
        <v>4</v>
      </c>
      <c r="D14" s="164">
        <v>3</v>
      </c>
      <c r="E14" s="164">
        <v>3</v>
      </c>
      <c r="F14" s="164">
        <v>3</v>
      </c>
      <c r="G14" s="163">
        <v>3</v>
      </c>
      <c r="H14" s="6"/>
      <c r="I14" s="6"/>
      <c r="J14" s="6"/>
      <c r="K14" s="6"/>
      <c r="L14" s="6"/>
      <c r="M14" s="6"/>
    </row>
    <row r="15" spans="1:13" s="3" customFormat="1" ht="15.75" x14ac:dyDescent="0.25">
      <c r="A15" s="7"/>
      <c r="B15" s="70"/>
      <c r="C15" s="70"/>
      <c r="D15" s="69"/>
      <c r="E15" s="70"/>
      <c r="F15" s="69"/>
      <c r="G15" s="6"/>
      <c r="H15" s="6"/>
      <c r="I15" s="6"/>
      <c r="J15" s="6"/>
      <c r="K15" s="6"/>
      <c r="L15" s="6"/>
      <c r="M15" s="6"/>
    </row>
    <row r="16" spans="1:13" s="3" customFormat="1" ht="16.5" thickBot="1" x14ac:dyDescent="0.3">
      <c r="A16" s="6" t="s">
        <v>237</v>
      </c>
      <c r="B16" s="7"/>
      <c r="C16" s="7"/>
      <c r="D16" s="7"/>
      <c r="E16" s="7"/>
      <c r="F16" s="7"/>
      <c r="G16" s="6"/>
      <c r="H16" s="6"/>
      <c r="I16" s="6"/>
      <c r="J16" s="6"/>
      <c r="K16" s="6"/>
      <c r="L16" s="6"/>
      <c r="M16" s="6"/>
    </row>
    <row r="17" spans="1:13" s="3" customFormat="1" ht="16.5" thickBot="1" x14ac:dyDescent="0.3">
      <c r="A17" s="170" t="s">
        <v>236</v>
      </c>
      <c r="B17" s="169">
        <v>1</v>
      </c>
      <c r="C17" s="169">
        <v>2</v>
      </c>
      <c r="D17" s="169">
        <v>3</v>
      </c>
      <c r="E17" s="169">
        <v>4</v>
      </c>
      <c r="F17" s="169">
        <v>5</v>
      </c>
      <c r="G17" s="168">
        <v>6</v>
      </c>
      <c r="H17" s="6"/>
      <c r="I17" s="6"/>
      <c r="J17" s="6"/>
      <c r="K17" s="6"/>
      <c r="L17" s="6"/>
      <c r="M17" s="6"/>
    </row>
    <row r="18" spans="1:13" s="3" customFormat="1" ht="15.75" x14ac:dyDescent="0.25">
      <c r="A18" s="167" t="s">
        <v>235</v>
      </c>
      <c r="B18" s="69">
        <v>120</v>
      </c>
      <c r="C18" s="69">
        <v>240</v>
      </c>
      <c r="D18" s="69">
        <v>330</v>
      </c>
      <c r="E18" s="69">
        <v>380</v>
      </c>
      <c r="F18" s="69">
        <v>400</v>
      </c>
      <c r="G18" s="166">
        <v>390</v>
      </c>
      <c r="H18" s="6"/>
      <c r="I18" s="6"/>
      <c r="J18" s="6"/>
      <c r="K18" s="6"/>
      <c r="L18" s="6"/>
      <c r="M18" s="6"/>
    </row>
    <row r="19" spans="1:13" s="3" customFormat="1" ht="15.75" x14ac:dyDescent="0.25">
      <c r="A19" s="167" t="s">
        <v>234</v>
      </c>
      <c r="B19" s="69">
        <v>190</v>
      </c>
      <c r="C19" s="69">
        <v>310</v>
      </c>
      <c r="D19" s="69">
        <v>380</v>
      </c>
      <c r="E19" s="69">
        <v>400</v>
      </c>
      <c r="F19" s="69">
        <v>410</v>
      </c>
      <c r="G19" s="166">
        <v>380</v>
      </c>
      <c r="H19" s="6"/>
      <c r="I19" s="6"/>
      <c r="J19" s="6"/>
      <c r="K19" s="6"/>
      <c r="L19" s="6"/>
      <c r="M19" s="6"/>
    </row>
    <row r="20" spans="1:13" s="3" customFormat="1" ht="28.5" customHeight="1" x14ac:dyDescent="0.25">
      <c r="A20" s="167" t="s">
        <v>233</v>
      </c>
      <c r="B20" s="69">
        <v>102</v>
      </c>
      <c r="C20" s="69">
        <v>99</v>
      </c>
      <c r="D20" s="69">
        <v>97</v>
      </c>
      <c r="E20" s="69">
        <v>93</v>
      </c>
      <c r="F20" s="69">
        <v>90</v>
      </c>
      <c r="G20" s="166">
        <v>87</v>
      </c>
      <c r="H20" s="6"/>
      <c r="I20" s="6"/>
      <c r="J20" s="6"/>
      <c r="K20" s="6"/>
      <c r="L20" s="6"/>
      <c r="M20" s="6"/>
    </row>
    <row r="21" spans="1:13" s="3" customFormat="1" ht="16.5" thickBot="1" x14ac:dyDescent="0.3">
      <c r="A21" s="165" t="s">
        <v>232</v>
      </c>
      <c r="B21" s="164">
        <v>1050</v>
      </c>
      <c r="C21" s="164">
        <v>950</v>
      </c>
      <c r="D21" s="164">
        <v>870</v>
      </c>
      <c r="E21" s="164">
        <v>750</v>
      </c>
      <c r="F21" s="164">
        <v>630</v>
      </c>
      <c r="G21" s="163">
        <v>510</v>
      </c>
      <c r="H21" s="6"/>
      <c r="I21" s="6"/>
      <c r="J21" s="6"/>
      <c r="K21" s="6"/>
      <c r="L21" s="6"/>
      <c r="M21" s="6"/>
    </row>
    <row r="22" spans="1:13" s="3" customFormat="1" ht="15.75" x14ac:dyDescent="0.25">
      <c r="A22" s="7"/>
      <c r="B22" s="70"/>
      <c r="C22" s="70"/>
      <c r="D22" s="69"/>
      <c r="E22" s="70"/>
      <c r="F22" s="69"/>
      <c r="G22" s="6"/>
      <c r="H22" s="6"/>
      <c r="I22" s="6"/>
      <c r="J22" s="6"/>
      <c r="K22" s="6"/>
      <c r="L22" s="6"/>
      <c r="M22" s="6"/>
    </row>
    <row r="23" spans="1:13" s="3" customFormat="1" ht="15.75" x14ac:dyDescent="0.25">
      <c r="A23" s="69" t="s">
        <v>267</v>
      </c>
      <c r="B23" s="162"/>
      <c r="C23" s="20"/>
      <c r="D23" s="20"/>
      <c r="E23" s="70"/>
      <c r="F23" s="69"/>
      <c r="G23" s="6"/>
      <c r="H23" s="6"/>
      <c r="I23" s="6"/>
      <c r="J23" s="6"/>
      <c r="K23" s="6"/>
      <c r="L23" s="6"/>
      <c r="M23" s="6"/>
    </row>
    <row r="24" spans="1:13" ht="15.7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6" spans="1:13" ht="15.75" x14ac:dyDescent="0.25">
      <c r="A26" s="1" t="s">
        <v>0</v>
      </c>
    </row>
    <row r="27" spans="1:13" x14ac:dyDescent="0.25">
      <c r="B27" s="21"/>
    </row>
    <row r="28" spans="1:13" x14ac:dyDescent="0.25">
      <c r="A28" s="2" t="s">
        <v>2</v>
      </c>
      <c r="B28" s="21" t="s">
        <v>27</v>
      </c>
    </row>
    <row r="29" spans="1:13" x14ac:dyDescent="0.25">
      <c r="B29" s="21"/>
    </row>
    <row r="30" spans="1:13" x14ac:dyDescent="0.25">
      <c r="A30" s="2" t="s">
        <v>266</v>
      </c>
      <c r="B30" s="21">
        <f>B18+B20+B21</f>
        <v>1272</v>
      </c>
      <c r="C30" s="21">
        <f>C18+C20+C21</f>
        <v>1289</v>
      </c>
      <c r="D30" s="21">
        <f>D18+D20+D21</f>
        <v>1297</v>
      </c>
      <c r="E30" s="21">
        <f>E18+E20+E21</f>
        <v>1223</v>
      </c>
      <c r="F30" s="21">
        <f>F18+F20+F21</f>
        <v>1120</v>
      </c>
      <c r="G30" s="21">
        <f>G18+G20+G21</f>
        <v>987</v>
      </c>
      <c r="H30" s="2" t="s">
        <v>265</v>
      </c>
    </row>
    <row r="31" spans="1:13" x14ac:dyDescent="0.25">
      <c r="A31" s="2" t="s">
        <v>264</v>
      </c>
      <c r="B31" s="21">
        <f>B12</f>
        <v>369</v>
      </c>
      <c r="C31" s="21">
        <f>B31+C12</f>
        <v>332</v>
      </c>
      <c r="D31" s="21">
        <f>C31+D12</f>
        <v>305</v>
      </c>
      <c r="E31" s="21">
        <f>D31+E12</f>
        <v>270</v>
      </c>
      <c r="F31" s="21">
        <f>E31+F12</f>
        <v>234</v>
      </c>
      <c r="G31" s="21">
        <f>F31+G12</f>
        <v>196</v>
      </c>
      <c r="H31" s="2" t="s">
        <v>263</v>
      </c>
    </row>
    <row r="32" spans="1:13" x14ac:dyDescent="0.25">
      <c r="A32" s="2" t="s">
        <v>262</v>
      </c>
      <c r="B32" s="21">
        <f>B19+B31</f>
        <v>559</v>
      </c>
      <c r="C32" s="21">
        <f>C19+C31</f>
        <v>642</v>
      </c>
      <c r="D32" s="21">
        <f>D19+D31</f>
        <v>685</v>
      </c>
      <c r="E32" s="21">
        <f>E19+E31</f>
        <v>670</v>
      </c>
      <c r="F32" s="21">
        <f>F19+F31</f>
        <v>644</v>
      </c>
      <c r="G32" s="21">
        <f>G19+G31</f>
        <v>576</v>
      </c>
      <c r="H32" s="2" t="s">
        <v>261</v>
      </c>
    </row>
    <row r="33" spans="1:8" x14ac:dyDescent="0.25">
      <c r="A33" s="2" t="s">
        <v>260</v>
      </c>
      <c r="B33" s="21">
        <f>B30-B32</f>
        <v>713</v>
      </c>
      <c r="C33" s="21">
        <f>C30-C32</f>
        <v>647</v>
      </c>
      <c r="D33" s="21">
        <f>D30-D32</f>
        <v>612</v>
      </c>
      <c r="E33" s="21">
        <f>E30-E32</f>
        <v>553</v>
      </c>
      <c r="F33" s="21">
        <f>F30-F32</f>
        <v>476</v>
      </c>
      <c r="G33" s="21">
        <f>G30-G32</f>
        <v>411</v>
      </c>
      <c r="H33" s="2" t="s">
        <v>259</v>
      </c>
    </row>
    <row r="34" spans="1:8" x14ac:dyDescent="0.25">
      <c r="A34" s="2" t="s">
        <v>255</v>
      </c>
      <c r="B34" s="21">
        <f>B33/2</f>
        <v>356.5</v>
      </c>
      <c r="C34" s="2">
        <f>AVERAGE(B33:C33)</f>
        <v>680</v>
      </c>
      <c r="D34" s="2">
        <f>AVERAGE(C33:D33)</f>
        <v>629.5</v>
      </c>
      <c r="E34" s="2">
        <f>AVERAGE(D33:E33)</f>
        <v>582.5</v>
      </c>
      <c r="F34" s="2">
        <f>AVERAGE(E33:F33)</f>
        <v>514.5</v>
      </c>
      <c r="G34" s="2">
        <f>AVERAGE(F33:G33)</f>
        <v>443.5</v>
      </c>
      <c r="H34" s="2" t="s">
        <v>258</v>
      </c>
    </row>
    <row r="35" spans="1:8" x14ac:dyDescent="0.25">
      <c r="A35" s="2" t="s">
        <v>222</v>
      </c>
      <c r="B35" s="21">
        <v>53</v>
      </c>
      <c r="C35" s="2">
        <v>65</v>
      </c>
      <c r="D35" s="2">
        <v>74</v>
      </c>
      <c r="E35" s="2">
        <v>74</v>
      </c>
      <c r="F35" s="2">
        <v>55</v>
      </c>
      <c r="G35" s="2">
        <v>75</v>
      </c>
      <c r="H35" s="2" t="s">
        <v>257</v>
      </c>
    </row>
    <row r="36" spans="1:8" x14ac:dyDescent="0.25">
      <c r="A36" s="2" t="s">
        <v>253</v>
      </c>
      <c r="B36" s="173">
        <f>B35/B34</f>
        <v>0.14866760168302945</v>
      </c>
      <c r="C36" s="173">
        <f>C35/C34</f>
        <v>9.5588235294117641E-2</v>
      </c>
      <c r="D36" s="173">
        <f>D35/D34</f>
        <v>0.11755361397934869</v>
      </c>
      <c r="E36" s="173">
        <f>E35/E34</f>
        <v>0.12703862660944207</v>
      </c>
      <c r="F36" s="173">
        <f>F35/F34</f>
        <v>0.10689990281827016</v>
      </c>
      <c r="G36" s="173">
        <f>G35/G34</f>
        <v>0.16910935738444194</v>
      </c>
      <c r="H36" s="2" t="s">
        <v>251</v>
      </c>
    </row>
    <row r="37" spans="1:8" x14ac:dyDescent="0.25">
      <c r="B37" s="21"/>
    </row>
    <row r="38" spans="1:8" x14ac:dyDescent="0.25">
      <c r="A38" s="2" t="s">
        <v>256</v>
      </c>
      <c r="B38" s="21"/>
    </row>
    <row r="39" spans="1:8" x14ac:dyDescent="0.25">
      <c r="A39" s="2" t="s">
        <v>255</v>
      </c>
      <c r="B39" s="21">
        <v>0</v>
      </c>
      <c r="C39" s="21">
        <f>B33</f>
        <v>713</v>
      </c>
      <c r="D39" s="21">
        <f>C33</f>
        <v>647</v>
      </c>
      <c r="E39" s="21">
        <f>D33</f>
        <v>612</v>
      </c>
      <c r="F39" s="21">
        <f>E33</f>
        <v>553</v>
      </c>
      <c r="G39" s="21">
        <f>F33</f>
        <v>476</v>
      </c>
      <c r="H39" s="2" t="s">
        <v>254</v>
      </c>
    </row>
    <row r="40" spans="1:8" x14ac:dyDescent="0.25">
      <c r="A40" s="2" t="s">
        <v>253</v>
      </c>
      <c r="B40" s="21" t="s">
        <v>252</v>
      </c>
      <c r="C40" s="172">
        <f>C35/C39</f>
        <v>9.1164095371669002E-2</v>
      </c>
      <c r="D40" s="172">
        <f>D35/D39</f>
        <v>0.11437403400309119</v>
      </c>
      <c r="E40" s="172">
        <f>E35/E39</f>
        <v>0.12091503267973856</v>
      </c>
      <c r="F40" s="172">
        <f>F35/F39</f>
        <v>9.9457504520795659E-2</v>
      </c>
      <c r="G40" s="172">
        <f>G35/G39</f>
        <v>0.15756302521008403</v>
      </c>
      <c r="H40" s="2" t="s">
        <v>251</v>
      </c>
    </row>
    <row r="41" spans="1:8" x14ac:dyDescent="0.25">
      <c r="B41" s="21"/>
    </row>
    <row r="42" spans="1:8" x14ac:dyDescent="0.25">
      <c r="A42" s="22" t="s">
        <v>250</v>
      </c>
      <c r="B42" s="171">
        <f>B36</f>
        <v>0.14866760168302945</v>
      </c>
      <c r="C42" s="171">
        <f>C36</f>
        <v>9.5588235294117641E-2</v>
      </c>
      <c r="D42" s="171">
        <f>D36</f>
        <v>0.11755361397934869</v>
      </c>
      <c r="E42" s="171">
        <f>E36</f>
        <v>0.12703862660944207</v>
      </c>
      <c r="F42" s="171">
        <f>F36</f>
        <v>0.10689990281827016</v>
      </c>
      <c r="G42" s="171">
        <f>G36</f>
        <v>0.16910935738444194</v>
      </c>
    </row>
    <row r="45" spans="1:8" ht="15.75" x14ac:dyDescent="0.25">
      <c r="A45" s="23" t="s">
        <v>219</v>
      </c>
      <c r="B45" s="5"/>
      <c r="C45" s="5"/>
      <c r="D45" s="5"/>
      <c r="E45" s="5"/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65b3ef4f2db57c8fd06e10d67e29a91c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368f79d5404671231dfb7196e18a5373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CBC53B-1C74-4A89-AE6E-30203E718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04078D-D3DA-480E-A272-09F64664C8C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660b397-b6e2-4afb-9566-799993fe369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e84907d-e188-4da1-84e7-d0ad67a7a70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F256335-5561-4315-9AF6-531BB1088BEB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Question 1 (a)</vt:lpstr>
      <vt:lpstr>Question 1 (b)</vt:lpstr>
      <vt:lpstr>Question 1 (c)</vt:lpstr>
      <vt:lpstr>Q3</vt:lpstr>
      <vt:lpstr>Q5 b i</vt:lpstr>
      <vt:lpstr>Q5 b ii</vt:lpstr>
      <vt:lpstr>Question 6 (a)</vt:lpstr>
      <vt:lpstr>Question 7 (a)</vt:lpstr>
      <vt:lpstr>Question 7 (b)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Mark Dulceak</cp:lastModifiedBy>
  <dcterms:created xsi:type="dcterms:W3CDTF">2020-07-28T23:01:03Z</dcterms:created>
  <dcterms:modified xsi:type="dcterms:W3CDTF">2026-04-30T14:41:43Z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0x010100A13D16CE4023BB4BB4110DFC2802C897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f8a4e946-8729-44db-9533-8e74969be952_Enabled">
    <vt:lpwstr>true</vt:lpwstr>
  </property>
  <property fmtid="{D5CDD505-2E9C-101B-9397-08002B2CF9AE}" pid="6" name="MSIP_Label_f8a4e946-8729-44db-9533-8e74969be952_SetDate">
    <vt:lpwstr>2025-12-13T16:16:26Z</vt:lpwstr>
  </property>
  <property fmtid="{D5CDD505-2E9C-101B-9397-08002B2CF9AE}" pid="7" name="MSIP_Label_f8a4e946-8729-44db-9533-8e74969be952_Method">
    <vt:lpwstr>Standard</vt:lpwstr>
  </property>
  <property fmtid="{D5CDD505-2E9C-101B-9397-08002B2CF9AE}" pid="8" name="MSIP_Label_f8a4e946-8729-44db-9533-8e74969be952_Name">
    <vt:lpwstr>Restricted</vt:lpwstr>
  </property>
  <property fmtid="{D5CDD505-2E9C-101B-9397-08002B2CF9AE}" pid="9" name="MSIP_Label_f8a4e946-8729-44db-9533-8e74969be952_SiteId">
    <vt:lpwstr>ca56a4a5-e300-406a-98ff-7e36a0baac5b</vt:lpwstr>
  </property>
  <property fmtid="{D5CDD505-2E9C-101B-9397-08002B2CF9AE}" pid="10" name="MSIP_Label_f8a4e946-8729-44db-9533-8e74969be952_ActionId">
    <vt:lpwstr>7895a146-2948-444a-a6d1-c65071b85a33</vt:lpwstr>
  </property>
  <property fmtid="{D5CDD505-2E9C-101B-9397-08002B2CF9AE}" pid="11" name="MSIP_Label_f8a4e946-8729-44db-9533-8e74969be952_ContentBits">
    <vt:lpwstr>0</vt:lpwstr>
  </property>
  <property fmtid="{D5CDD505-2E9C-101B-9397-08002B2CF9AE}" pid="12" name="MSIP_Label_f8a4e946-8729-44db-9533-8e74969be952_Tag">
    <vt:lpwstr>10, 3, 0, 1</vt:lpwstr>
  </property>
</Properties>
</file>