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mdulceak_soa_org/Documents/U_Drive/Solutions/0-NEW FSA Exams/March 2026/RET 301/"/>
    </mc:Choice>
  </mc:AlternateContent>
  <xr:revisionPtr revIDLastSave="4" documentId="8_{0B2A50CA-1EA3-481E-8165-7B290AB051F3}" xr6:coauthVersionLast="47" xr6:coauthVersionMax="47" xr10:uidLastSave="{9E2520B4-11BC-48E9-98AA-294D08386C97}"/>
  <bookViews>
    <workbookView xWindow="-96" yWindow="0" windowWidth="11712" windowHeight="12336" firstSheet="3" activeTab="3" xr2:uid="{00000000-000D-0000-FFFF-FFFF00000000}"/>
  </bookViews>
  <sheets>
    <sheet name="Question 2 - Spring 2026" sheetId="9" r:id="rId1"/>
    <sheet name="Question 3" sheetId="10" r:id="rId2"/>
    <sheet name="Question 4 - Model Solution" sheetId="11" r:id="rId3"/>
    <sheet name="Question 5" sheetId="12" r:id="rId4"/>
  </sheets>
  <definedNames>
    <definedName name="_Hlk6488088" localSheetId="0">'Question 2 - Spring 2026'!#REF!</definedName>
    <definedName name="_Hlk6488088" localSheetId="1">'Question 3'!#REF!</definedName>
    <definedName name="_Hlk6488088" localSheetId="2">'Question 4 - Model Solution'!#REF!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12" l="1"/>
  <c r="J2" i="12"/>
  <c r="K8" i="12"/>
  <c r="K11" i="12"/>
  <c r="N18" i="12" s="1"/>
  <c r="L11" i="12"/>
  <c r="M11" i="12"/>
  <c r="N11" i="12"/>
  <c r="N16" i="12" s="1"/>
  <c r="K12" i="12"/>
  <c r="L12" i="12"/>
  <c r="M12" i="12"/>
  <c r="N12" i="12"/>
  <c r="E39" i="12"/>
  <c r="L8" i="12" s="1"/>
  <c r="E42" i="12"/>
  <c r="F42" i="12"/>
  <c r="G42" i="12"/>
  <c r="F39" i="12" l="1"/>
  <c r="M8" i="12" s="1"/>
  <c r="N15" i="12" s="1"/>
  <c r="N19" i="12" s="1"/>
  <c r="E53" i="12" s="1"/>
  <c r="M2" i="11"/>
  <c r="O8" i="11"/>
  <c r="O9" i="11"/>
  <c r="U11" i="11"/>
  <c r="V11" i="11"/>
  <c r="AA11" i="11"/>
  <c r="AA12" i="11" s="1"/>
  <c r="AB11" i="11"/>
  <c r="AC11" i="11"/>
  <c r="AC12" i="11" s="1"/>
  <c r="AD11" i="11"/>
  <c r="AF11" i="11"/>
  <c r="AH11" i="11"/>
  <c r="U12" i="11"/>
  <c r="V12" i="11"/>
  <c r="Z12" i="11"/>
  <c r="AH12" i="11"/>
  <c r="U13" i="11"/>
  <c r="V13" i="11"/>
  <c r="U18" i="11" s="1"/>
  <c r="Z13" i="11"/>
  <c r="Z14" i="11" s="1"/>
  <c r="Z15" i="11" s="1"/>
  <c r="Z16" i="11" s="1"/>
  <c r="Z17" i="11" s="1"/>
  <c r="Z18" i="11" s="1"/>
  <c r="Z19" i="11" s="1"/>
  <c r="Z20" i="11" s="1"/>
  <c r="Z21" i="11" s="1"/>
  <c r="AH13" i="11"/>
  <c r="AH14" i="11"/>
  <c r="AH15" i="11"/>
  <c r="O16" i="11"/>
  <c r="AE11" i="11" s="1"/>
  <c r="AH16" i="11"/>
  <c r="AH17" i="11"/>
  <c r="AH18" i="11"/>
  <c r="AH19" i="11"/>
  <c r="P20" i="11"/>
  <c r="AH20" i="11"/>
  <c r="P21" i="11"/>
  <c r="AH21" i="11"/>
  <c r="P22" i="11"/>
  <c r="U23" i="11"/>
  <c r="W23" i="11"/>
  <c r="O27" i="11"/>
  <c r="O28" i="11"/>
  <c r="O33" i="11"/>
  <c r="C49" i="11"/>
  <c r="C50" i="11"/>
  <c r="C51" i="11"/>
  <c r="C52" i="11"/>
  <c r="C53" i="11" s="1"/>
  <c r="C54" i="11" s="1"/>
  <c r="C55" i="11" s="1"/>
  <c r="C56" i="11" s="1"/>
  <c r="C57" i="11" s="1"/>
  <c r="C58" i="11" s="1"/>
  <c r="AG11" i="11" l="1"/>
  <c r="AI11" i="11" s="1"/>
  <c r="AE12" i="11"/>
  <c r="AE13" i="11" s="1"/>
  <c r="AE14" i="11" s="1"/>
  <c r="AE15" i="11" s="1"/>
  <c r="AE16" i="11" s="1"/>
  <c r="AE17" i="11" s="1"/>
  <c r="AE18" i="11" s="1"/>
  <c r="AE19" i="11" s="1"/>
  <c r="AE20" i="11" s="1"/>
  <c r="AE21" i="11" s="1"/>
  <c r="AC13" i="11"/>
  <c r="AA13" i="11"/>
  <c r="AB12" i="11"/>
  <c r="AF12" i="11" s="1"/>
  <c r="AG12" i="11" s="1"/>
  <c r="AI12" i="11" s="1"/>
  <c r="AC27" i="11" s="1"/>
  <c r="U12" i="10"/>
  <c r="W12" i="10"/>
  <c r="Z12" i="10"/>
  <c r="AB12" i="10"/>
  <c r="U16" i="10"/>
  <c r="W16" i="10"/>
  <c r="Z16" i="10"/>
  <c r="AB16" i="10"/>
  <c r="U18" i="10"/>
  <c r="W18" i="10"/>
  <c r="Z18" i="10"/>
  <c r="AB18" i="10"/>
  <c r="U22" i="10"/>
  <c r="W22" i="10"/>
  <c r="Z22" i="10"/>
  <c r="AB22" i="10"/>
  <c r="U23" i="10"/>
  <c r="W23" i="10"/>
  <c r="U24" i="10"/>
  <c r="W24" i="10"/>
  <c r="V35" i="10"/>
  <c r="X35" i="10"/>
  <c r="V36" i="10"/>
  <c r="X36" i="10"/>
  <c r="M47" i="10"/>
  <c r="M56" i="10" s="1"/>
  <c r="M48" i="10"/>
  <c r="M50" i="10"/>
  <c r="M55" i="10"/>
  <c r="M63" i="10"/>
  <c r="M65" i="10"/>
  <c r="M66" i="10"/>
  <c r="M68" i="10"/>
  <c r="M71" i="10" s="1"/>
  <c r="M70" i="10"/>
  <c r="M74" i="10"/>
  <c r="M83" i="10"/>
  <c r="M92" i="10" s="1"/>
  <c r="M93" i="10" s="1"/>
  <c r="M84" i="10"/>
  <c r="M90" i="10" s="1"/>
  <c r="M94" i="10" s="1"/>
  <c r="M85" i="10"/>
  <c r="M91" i="10"/>
  <c r="M102" i="10"/>
  <c r="M116" i="10"/>
  <c r="M118" i="10"/>
  <c r="M119" i="10"/>
  <c r="M120" i="10"/>
  <c r="AB13" i="11" l="1"/>
  <c r="AF13" i="11" s="1"/>
  <c r="AA14" i="11"/>
  <c r="AC14" i="11"/>
  <c r="AG13" i="11"/>
  <c r="AI13" i="11" s="1"/>
  <c r="AC28" i="11" s="1"/>
  <c r="AC29" i="11" s="1"/>
  <c r="M59" i="10"/>
  <c r="M57" i="10"/>
  <c r="M76" i="10" s="1"/>
  <c r="M121" i="10" s="1"/>
  <c r="M77" i="10"/>
  <c r="U37" i="10" s="1"/>
  <c r="M86" i="10"/>
  <c r="M100" i="10"/>
  <c r="M103" i="10" s="1"/>
  <c r="M107" i="10" s="1"/>
  <c r="M96" i="10"/>
  <c r="O44" i="9"/>
  <c r="P23" i="9"/>
  <c r="O23" i="9"/>
  <c r="L33" i="9"/>
  <c r="L45" i="9" s="1"/>
  <c r="L32" i="9"/>
  <c r="L44" i="9" s="1"/>
  <c r="M28" i="9"/>
  <c r="N28" i="9" s="1"/>
  <c r="M19" i="9"/>
  <c r="N19" i="9" s="1"/>
  <c r="P14" i="9"/>
  <c r="M38" i="9" s="1"/>
  <c r="M13" i="9"/>
  <c r="M12" i="9"/>
  <c r="N55" i="9"/>
  <c r="M55" i="9"/>
  <c r="M53" i="9"/>
  <c r="M52" i="9"/>
  <c r="N52" i="9" s="1"/>
  <c r="M51" i="9"/>
  <c r="N51" i="9" s="1"/>
  <c r="P12" i="9"/>
  <c r="M11" i="9"/>
  <c r="P11" i="9"/>
  <c r="M6" i="9"/>
  <c r="AC15" i="11" l="1"/>
  <c r="AB14" i="11"/>
  <c r="AF14" i="11" s="1"/>
  <c r="AG14" i="11" s="1"/>
  <c r="AI14" i="11" s="1"/>
  <c r="AA15" i="11"/>
  <c r="M44" i="9"/>
  <c r="O35" i="9" s="1"/>
  <c r="P44" i="9"/>
  <c r="M14" i="9"/>
  <c r="M15" i="9" s="1"/>
  <c r="P13" i="9"/>
  <c r="M57" i="9"/>
  <c r="AA16" i="11" l="1"/>
  <c r="AB15" i="11"/>
  <c r="AF15" i="11" s="1"/>
  <c r="AC16" i="11"/>
  <c r="AG15" i="11"/>
  <c r="AI15" i="11" s="1"/>
  <c r="M59" i="9"/>
  <c r="M39" i="9"/>
  <c r="P15" i="9"/>
  <c r="M23" i="9"/>
  <c r="M32" i="9"/>
  <c r="O32" i="9" s="1"/>
  <c r="AC17" i="11" l="1"/>
  <c r="AB16" i="11"/>
  <c r="AF16" i="11" s="1"/>
  <c r="AG16" i="11" s="1"/>
  <c r="AI16" i="11" s="1"/>
  <c r="AA17" i="11"/>
  <c r="M24" i="9"/>
  <c r="O24" i="9" s="1"/>
  <c r="P24" i="9" s="1"/>
  <c r="AA18" i="11" l="1"/>
  <c r="AB17" i="11"/>
  <c r="AF17" i="11" s="1"/>
  <c r="AG17" i="11"/>
  <c r="AI17" i="11" s="1"/>
  <c r="AC18" i="11"/>
  <c r="N54" i="9"/>
  <c r="M33" i="9"/>
  <c r="O33" i="9" s="1"/>
  <c r="O34" i="9" s="1"/>
  <c r="O36" i="9" s="1"/>
  <c r="M45" i="9" s="1"/>
  <c r="O45" i="9" s="1"/>
  <c r="AC19" i="11" l="1"/>
  <c r="AA19" i="11"/>
  <c r="AB18" i="11"/>
  <c r="AF18" i="11" s="1"/>
  <c r="AG18" i="11" s="1"/>
  <c r="AI18" i="11" s="1"/>
  <c r="P45" i="9"/>
  <c r="O46" i="9"/>
  <c r="AC20" i="11" l="1"/>
  <c r="AB19" i="11"/>
  <c r="AF19" i="11" s="1"/>
  <c r="AG19" i="11" s="1"/>
  <c r="AI19" i="11" s="1"/>
  <c r="AA20" i="11"/>
  <c r="N56" i="9"/>
  <c r="N57" i="9" s="1"/>
  <c r="P46" i="9"/>
  <c r="AA21" i="11" l="1"/>
  <c r="AB21" i="11" s="1"/>
  <c r="AF21" i="11" s="1"/>
  <c r="AB20" i="11"/>
  <c r="AF20" i="11" s="1"/>
  <c r="AG20" i="11"/>
  <c r="AI20" i="11" s="1"/>
  <c r="AC21" i="11"/>
  <c r="AG21" i="11" l="1"/>
  <c r="AI21" i="11" s="1"/>
  <c r="AI23" i="11" s="1"/>
</calcChain>
</file>

<file path=xl/sharedStrings.xml><?xml version="1.0" encoding="utf-8"?>
<sst xmlns="http://schemas.openxmlformats.org/spreadsheetml/2006/main" count="448" uniqueCount="357">
  <si>
    <t>(a)</t>
  </si>
  <si>
    <t>(b)</t>
  </si>
  <si>
    <t>Show all work, including each step of the calculation separately, in the workspace provided to the right (in Excel).</t>
  </si>
  <si>
    <t>You are given the following valuation results as at December 31, 2024:</t>
  </si>
  <si>
    <t>Buy-in annuity value included in going concern assets and liabilities</t>
  </si>
  <si>
    <t>Going concern annual employer current service cost</t>
  </si>
  <si>
    <t>Annual provision for administrative expenses</t>
  </si>
  <si>
    <t>Going concern discount rate (net of investment expenses; gross of administrative expenses)</t>
  </si>
  <si>
    <t>Buy-in annuity value included in solvency assets and liabilities</t>
  </si>
  <si>
    <t>Provision for wind-up expenses</t>
  </si>
  <si>
    <t>There are no allowable exclusions from the solvency liabilities (e.g. consent benefits).</t>
  </si>
  <si>
    <t>Calculate the minimum required and maximum permissible employer contributions in 2025.</t>
  </si>
  <si>
    <t>Calculate the minimum required permissible employer contributions in 2026 based on the December 31, 2024 valuation results</t>
  </si>
  <si>
    <t>(8 points)</t>
  </si>
  <si>
    <t>Your client sponsors a single-employer defined benefit pension plan registered in Ontario. The plan is closed and both service and salaries have been frozen.</t>
  </si>
  <si>
    <t>Going concern information as at December 31, 2024</t>
  </si>
  <si>
    <t>Going concern assets 
- including buy-in annuity
- excluding present value of special payments previously established in respect of any past 
  service unfunded actuarial liability</t>
  </si>
  <si>
    <t>Going concern liabilities
- including buy-in annuity
- excluding provision for adverse deviations</t>
  </si>
  <si>
    <t xml:space="preserve">Provision for adverse deviations </t>
  </si>
  <si>
    <t>Solvency information as at December 31, 2024</t>
  </si>
  <si>
    <t>Solvency assets
- including buy-in annuity
- excluding wind-up expenses</t>
  </si>
  <si>
    <t>Solvency liabilities 
- including buy-in annuity</t>
  </si>
  <si>
    <t>Solvency blended discount rate</t>
  </si>
  <si>
    <t>Special payment schedule as at December 31, 2024</t>
  </si>
  <si>
    <t>Annual payment</t>
  </si>
  <si>
    <t>Period remaining</t>
  </si>
  <si>
    <t>Going concern</t>
  </si>
  <si>
    <t>Solvency</t>
  </si>
  <si>
    <t>3 years</t>
  </si>
  <si>
    <t>Other information</t>
  </si>
  <si>
    <t>10 years</t>
  </si>
  <si>
    <t>(5  points)</t>
  </si>
  <si>
    <t>(3 points)</t>
  </si>
  <si>
    <t>Valuation Date:</t>
  </si>
  <si>
    <t>Going Concern Val.</t>
  </si>
  <si>
    <t>Solvency Val.</t>
  </si>
  <si>
    <t>WU expense</t>
  </si>
  <si>
    <t>Solv. Liab.</t>
  </si>
  <si>
    <t>Pfad</t>
  </si>
  <si>
    <t>Answer Part (a)</t>
  </si>
  <si>
    <t>Answer Part (b)</t>
  </si>
  <si>
    <t>minimum contribution</t>
  </si>
  <si>
    <t>admin exp</t>
  </si>
  <si>
    <t>existing GC sp</t>
  </si>
  <si>
    <t>new GC sp</t>
  </si>
  <si>
    <t>existing Solv sp</t>
  </si>
  <si>
    <t>new solv sp</t>
  </si>
  <si>
    <t>Total</t>
  </si>
  <si>
    <t>Answer question here:</t>
  </si>
  <si>
    <t>GC Assets</t>
  </si>
  <si>
    <t>GC Liability (incl. pfad)</t>
  </si>
  <si>
    <t>GC Liability (excl. pfad)</t>
  </si>
  <si>
    <t>GC surplus / (deficit)</t>
  </si>
  <si>
    <t>Solv Assets</t>
  </si>
  <si>
    <t>Solvency Asset Adjustment</t>
  </si>
  <si>
    <t>Solv Assets (incl. WU exp)</t>
  </si>
  <si>
    <t>Effective date</t>
  </si>
  <si>
    <t>Payment</t>
  </si>
  <si>
    <t>Period</t>
  </si>
  <si>
    <t>Going Concern Special Payments</t>
  </si>
  <si>
    <t>Interest</t>
  </si>
  <si>
    <t>12.31.2025</t>
  </si>
  <si>
    <t>Remaining Period</t>
  </si>
  <si>
    <t>Balance at 1.1.2026</t>
  </si>
  <si>
    <t>(1 year deferral)</t>
  </si>
  <si>
    <t>Solvency Deficiency SP</t>
  </si>
  <si>
    <t>Effective Date</t>
  </si>
  <si>
    <t>From GC SP</t>
  </si>
  <si>
    <t>From Solv SP</t>
  </si>
  <si>
    <t>Balance at 12.31.2024</t>
  </si>
  <si>
    <t>Solv surplus / (deficit)</t>
  </si>
  <si>
    <t>Annual Payment</t>
  </si>
  <si>
    <t>85% Rule</t>
  </si>
  <si>
    <t>Solvency deficit to fund</t>
  </si>
  <si>
    <t>12.31.2024</t>
  </si>
  <si>
    <t>Only recognize 1 year since consolidate and reset</t>
  </si>
  <si>
    <t>Monthly Payment</t>
  </si>
  <si>
    <t>1 year deferral, consolidate and reset</t>
  </si>
  <si>
    <t>Solvency Special Payments</t>
  </si>
  <si>
    <t>Total Solvency Asset Adjustment</t>
  </si>
  <si>
    <t>(expired, since consolidate and reset)</t>
  </si>
  <si>
    <t>NC + NC Pfad</t>
  </si>
  <si>
    <t xml:space="preserve">Maximum contribution </t>
  </si>
  <si>
    <t>EXAM RET301 - session March 2026</t>
  </si>
  <si>
    <t>Question 2 - Model Solution</t>
  </si>
  <si>
    <t>Answer to part (b)</t>
  </si>
  <si>
    <t>Maximum Transfer Value = The maximum amount Member A is able to transfer to their Locked-In Retirement Account</t>
  </si>
  <si>
    <t>interpolated from table</t>
  </si>
  <si>
    <t>MTV Factor</t>
  </si>
  <si>
    <t>Age at Transfer</t>
  </si>
  <si>
    <t>CV Rolled Forward to Date of Transfer</t>
  </si>
  <si>
    <t>Time to Transfer</t>
  </si>
  <si>
    <t>Interest Rate</t>
  </si>
  <si>
    <t>CV</t>
  </si>
  <si>
    <t>Member A</t>
  </si>
  <si>
    <t>Not eligible for bridge benefit</t>
  </si>
  <si>
    <t>Member B</t>
  </si>
  <si>
    <t>Bridge Pension</t>
  </si>
  <si>
    <t>Answer to part (a)</t>
  </si>
  <si>
    <t>Lifetime Pension</t>
  </si>
  <si>
    <t>Pension Payable from the Plan at December 1, 2025 for Member B</t>
  </si>
  <si>
    <t>n/a</t>
  </si>
  <si>
    <t>5.  ITA Combined Limit</t>
  </si>
  <si>
    <t>4.  ITA Maximum Bridge</t>
  </si>
  <si>
    <t>Reduced  ITA Maximum Lifetime Pension</t>
  </si>
  <si>
    <t>ITA reduction</t>
  </si>
  <si>
    <t>2028-12-01 - turns 60 in 3 years</t>
  </si>
  <si>
    <t>Earliest Unreduced ITA Date</t>
  </si>
  <si>
    <t>ITA Max Lifetime Pension - (ITA Maximum Benefit (unreduced))</t>
  </si>
  <si>
    <t>2025 ITA Maximum</t>
  </si>
  <si>
    <t>3.  ITA Maximum Lifetime Pension Calculations:</t>
  </si>
  <si>
    <t>ITA Maximum Calculations</t>
  </si>
  <si>
    <t>Plan Bridge Benefit</t>
  </si>
  <si>
    <t>2.  Bridge Benefit Calculation</t>
  </si>
  <si>
    <t>Reduced Lifetime Pension Uncapped</t>
  </si>
  <si>
    <t>Test if plan reduction is better than actuarial equivalence</t>
  </si>
  <si>
    <t>Plan Reduction</t>
  </si>
  <si>
    <t>Minimum Requirement Actuarial Equivalence</t>
  </si>
  <si>
    <t>Accrued Benefit (uncapped &amp; unreduced)</t>
  </si>
  <si>
    <t>1.  Lifetime Pension Calculations:</t>
  </si>
  <si>
    <t>Plan Benefit Calculations</t>
  </si>
  <si>
    <t>Age + Service</t>
  </si>
  <si>
    <t xml:space="preserve">FAE </t>
  </si>
  <si>
    <t>Service</t>
  </si>
  <si>
    <t>Age</t>
  </si>
  <si>
    <t>Payable until age 65</t>
  </si>
  <si>
    <t>Pension Payable from the Plan at December 1, 2025 for Member A</t>
  </si>
  <si>
    <t xml:space="preserve">Calculate the maximum amount Member A is able to transfer to their Locked-In Retirement Account.  </t>
  </si>
  <si>
    <t>(1 point)</t>
  </si>
  <si>
    <t>=ITA DB maximum Lifetime $3,756.67 x SVC + 25%*3 year average YMPE($68,800)*SVC/35</t>
  </si>
  <si>
    <t>Combined Limit</t>
  </si>
  <si>
    <t>Reduced ITA Maximum Bridge</t>
  </si>
  <si>
    <t>No Service proration but reduce 0.25% per month before age 60</t>
  </si>
  <si>
    <t>Bridge Reduction</t>
  </si>
  <si>
    <t>Unreduced maximum Bridge</t>
  </si>
  <si>
    <t>2025-12-01 - Over 80 points at retirement no reduction</t>
  </si>
  <si>
    <t xml:space="preserve">The annuity factors at various ages under the Maximum Transfer Value (MTV) of section 8517 of the Income Tax Act are provided below.  </t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</si>
  <si>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Times New Roman"/>
        <family val="1"/>
      </rPr>
      <t>The transfer date is April 1, 2026</t>
    </r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</si>
  <si>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Times New Roman"/>
        <family val="1"/>
      </rPr>
      <t>Interest will be credited at 3.6% per year from December 1, 2025 to the date of payment.</t>
    </r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</si>
  <si>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Times New Roman"/>
        <family val="1"/>
      </rPr>
      <t xml:space="preserve">The lump sum commuted value is $1,148,000 at December 1, 2025.  </t>
    </r>
  </si>
  <si>
    <t xml:space="preserve">The pension plan also offers a commuted value option at retirement.  Member A elects to transfer the lump sum commuted value to a Locked-In Retirement Account.  You are given the following information regarding the lump sum payment:  </t>
  </si>
  <si>
    <t>Show All Work</t>
  </si>
  <si>
    <t xml:space="preserve">Calculate the lifetime and bridge pensions payable from the pension plan as at December 1, 2025 under the normal form for both Member A and Member B.  </t>
  </si>
  <si>
    <t>(6 points)</t>
  </si>
  <si>
    <r>
      <t>6|</t>
    </r>
    <r>
      <rPr>
        <sz val="12"/>
        <color theme="1"/>
        <rFont val="Times New Roman"/>
        <family val="1"/>
      </rPr>
      <t>ä</t>
    </r>
    <r>
      <rPr>
        <vertAlign val="subscript"/>
        <sz val="12"/>
        <color theme="1"/>
        <rFont val="Times New Roman"/>
        <family val="1"/>
      </rPr>
      <t>59</t>
    </r>
    <r>
      <rPr>
        <vertAlign val="superscript"/>
        <sz val="12"/>
        <color theme="1"/>
        <rFont val="Times New Roman"/>
        <family val="1"/>
      </rPr>
      <t xml:space="preserve">(12) </t>
    </r>
    <r>
      <rPr>
        <sz val="12"/>
        <color theme="1"/>
        <rFont val="Times New Roman"/>
        <family val="1"/>
      </rPr>
      <t>= 11.68 </t>
    </r>
  </si>
  <si>
    <r>
      <t>8|</t>
    </r>
    <r>
      <rPr>
        <sz val="12"/>
        <color theme="1"/>
        <rFont val="Abadi"/>
        <family val="2"/>
      </rPr>
      <t>ä</t>
    </r>
    <r>
      <rPr>
        <vertAlign val="subscript"/>
        <sz val="12"/>
        <color theme="1"/>
        <rFont val="Times New Roman"/>
        <family val="1"/>
      </rPr>
      <t>57</t>
    </r>
    <r>
      <rPr>
        <vertAlign val="superscript"/>
        <sz val="12"/>
        <color theme="1"/>
        <rFont val="Times New Roman"/>
        <family val="1"/>
      </rPr>
      <t xml:space="preserve">(12) </t>
    </r>
    <r>
      <rPr>
        <sz val="12"/>
        <color theme="1"/>
        <rFont val="Times New Roman"/>
        <family val="1"/>
      </rPr>
      <t>= 10.83 </t>
    </r>
  </si>
  <si>
    <r>
      <t>ä</t>
    </r>
    <r>
      <rPr>
        <vertAlign val="subscript"/>
        <sz val="12"/>
        <color theme="1"/>
        <rFont val="Times New Roman"/>
        <family val="1"/>
      </rPr>
      <t>59</t>
    </r>
    <r>
      <rPr>
        <vertAlign val="superscript"/>
        <sz val="12"/>
        <color theme="1"/>
        <rFont val="Times New Roman"/>
        <family val="1"/>
      </rPr>
      <t xml:space="preserve">(12) </t>
    </r>
    <r>
      <rPr>
        <sz val="12"/>
        <color theme="1"/>
        <rFont val="Times New Roman"/>
        <family val="1"/>
      </rPr>
      <t>= 16.61</t>
    </r>
  </si>
  <si>
    <r>
      <t>ä</t>
    </r>
    <r>
      <rPr>
        <vertAlign val="subscript"/>
        <sz val="12"/>
        <color theme="1"/>
        <rFont val="Times New Roman"/>
        <family val="1"/>
      </rPr>
      <t>57</t>
    </r>
    <r>
      <rPr>
        <vertAlign val="superscript"/>
        <sz val="12"/>
        <color theme="1"/>
        <rFont val="Times New Roman"/>
        <family val="1"/>
      </rPr>
      <t xml:space="preserve">(12) </t>
    </r>
    <r>
      <rPr>
        <sz val="12"/>
        <color theme="1"/>
        <rFont val="Times New Roman"/>
        <family val="1"/>
      </rPr>
      <t>=17.20</t>
    </r>
  </si>
  <si>
    <t>Going Concern Annuity Factors</t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</si>
  <si>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Times New Roman"/>
        <family val="1"/>
      </rPr>
      <t>The Plan text applies the maximum benefit tests at the earlier of termination, retirement or death.</t>
    </r>
  </si>
  <si>
    <t>Commuted Value</t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</si>
  <si>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Times New Roman"/>
        <family val="1"/>
      </rPr>
      <t>The three-year average YMPE is $68,800.</t>
    </r>
  </si>
  <si>
    <t>unreduced and optimal</t>
  </si>
  <si>
    <t>Bridge</t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</si>
  <si>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Times New Roman"/>
        <family val="1"/>
      </rPr>
      <t>Canada Pension Plan (“CPP”) maximum pension benefit for 2025 is $1,433 per month.</t>
    </r>
  </si>
  <si>
    <t>Lifetime</t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</si>
  <si>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Times New Roman"/>
        <family val="1"/>
      </rPr>
      <t>Maximum Old Age Security pension (“OAS”) payable in December 2025 is $727.67 per month.</t>
    </r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</si>
  <si>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Times New Roman"/>
        <family val="1"/>
      </rPr>
      <t>2025 Income Tax Act defined benefit dollar limit is $3,756.67 per year of service.</t>
    </r>
  </si>
  <si>
    <t>Rounded</t>
  </si>
  <si>
    <t>Annuity Factor</t>
  </si>
  <si>
    <t>Deferral</t>
  </si>
  <si>
    <t>Commencement Age</t>
  </si>
  <si>
    <t>Current Age</t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</si>
  <si>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Times New Roman"/>
        <family val="1"/>
      </rPr>
      <t>Actuarial equivalence is determined based on going concern assumptions from the latest filed actuarial valuation.</t>
    </r>
  </si>
  <si>
    <t>Life Only</t>
  </si>
  <si>
    <t>Annuity</t>
  </si>
  <si>
    <r>
      <t>·</t>
    </r>
    <r>
      <rPr>
        <sz val="7"/>
        <rFont val="Times New Roman"/>
        <family val="1"/>
      </rPr>
      <t xml:space="preserve">       </t>
    </r>
    <r>
      <rPr>
        <sz val="12"/>
        <rFont val="Times New Roman"/>
        <family val="1"/>
      </rPr>
      <t>Both members are retiring on December 1, 2025</t>
    </r>
  </si>
  <si>
    <t>Additional Information</t>
  </si>
  <si>
    <t>DOB</t>
  </si>
  <si>
    <t>Unisex</t>
  </si>
  <si>
    <t>Final 3-year Average Earnings</t>
  </si>
  <si>
    <t>PM14</t>
  </si>
  <si>
    <t>Mortality table</t>
  </si>
  <si>
    <t>Single</t>
  </si>
  <si>
    <t>Marital Status at Retirement</t>
  </si>
  <si>
    <t>March CV Rates</t>
  </si>
  <si>
    <t>Date of Hire/Plan Entry</t>
  </si>
  <si>
    <t>Years of Credited Service</t>
  </si>
  <si>
    <t>Age in years</t>
  </si>
  <si>
    <t>Member Information</t>
  </si>
  <si>
    <t>4% per year between age 60 and 65 plus 6% per year before age 60
A member may retire unreduced, if age + credited service are greater than or equal to 85</t>
  </si>
  <si>
    <t>Early Retirement Reductions for Retirement and Bridge Benefit</t>
  </si>
  <si>
    <t>Deferred pension payable at age 65; early retirement pension is actuarially equivalent</t>
  </si>
  <si>
    <t>Termination Benefit</t>
  </si>
  <si>
    <t>Life only, payable monthly in advance</t>
  </si>
  <si>
    <t>Normal Form of Payment</t>
  </si>
  <si>
    <t>$1,500 per month, payable from early retirement until age 65, only available to members hired on or before January 1, 2010.</t>
  </si>
  <si>
    <t>Bridge Benefit</t>
  </si>
  <si>
    <t>2% of final 3-year average earnings multiplied by credited service</t>
  </si>
  <si>
    <t>Normal Retirement Benefit</t>
  </si>
  <si>
    <t>Age 55</t>
  </si>
  <si>
    <t>Early Retirement Age</t>
  </si>
  <si>
    <t>Age 65</t>
  </si>
  <si>
    <t>Normal Retirement Age</t>
  </si>
  <si>
    <t>Plan Information:</t>
  </si>
  <si>
    <t>You are given the following information at December 1, 2025:</t>
  </si>
  <si>
    <t>Determination of Annuity Factors</t>
  </si>
  <si>
    <t xml:space="preserve">Member A and Member B are retiring from active status on December 1, 2025 from a defined benefit pension plan registered in Ontario.  </t>
  </si>
  <si>
    <t>(7 points)</t>
  </si>
  <si>
    <t>PM14PR</t>
  </si>
  <si>
    <t>GC DR</t>
  </si>
  <si>
    <t>Question 3 - Model Solution</t>
  </si>
  <si>
    <t>Factor Determination - not part of Rubric/Solution</t>
  </si>
  <si>
    <t>EXAM RET301 - March 2026</t>
  </si>
  <si>
    <t>Calculate the commuted value as at the member’s termination date.</t>
  </si>
  <si>
    <r>
      <t xml:space="preserve">(3 </t>
    </r>
    <r>
      <rPr>
        <i/>
        <sz val="12"/>
        <color rgb="FF002060"/>
        <rFont val="Times New Roman"/>
        <family val="1"/>
      </rPr>
      <t>points</t>
    </r>
    <r>
      <rPr>
        <sz val="12"/>
        <color rgb="FF002060"/>
        <rFont val="Times New Roman"/>
        <family val="1"/>
      </rPr>
      <t xml:space="preserve">) </t>
    </r>
  </si>
  <si>
    <t>c)</t>
  </si>
  <si>
    <t>Single Life with 5-year guarantee</t>
  </si>
  <si>
    <t>Pension Start Age</t>
  </si>
  <si>
    <t>Annuity Factors:</t>
  </si>
  <si>
    <t xml:space="preserve">The member elected to commute the value of their pension. You are given the following:  </t>
  </si>
  <si>
    <t xml:space="preserve">Standards of Practice, Section 3500.  </t>
  </si>
  <si>
    <t>Calculate the interest rates used to determine the commuted value in accordance with the CIA</t>
  </si>
  <si>
    <r>
      <t xml:space="preserve">(2 </t>
    </r>
    <r>
      <rPr>
        <i/>
        <sz val="12"/>
        <color rgb="FF002060"/>
        <rFont val="Times New Roman"/>
        <family val="1"/>
      </rPr>
      <t>points</t>
    </r>
    <r>
      <rPr>
        <sz val="12"/>
        <color rgb="FF002060"/>
        <rFont val="Times New Roman"/>
        <family val="1"/>
      </rPr>
      <t xml:space="preserve">) </t>
    </r>
  </si>
  <si>
    <t>b)</t>
  </si>
  <si>
    <r>
      <t>s</t>
    </r>
    <r>
      <rPr>
        <vertAlign val="subscript"/>
        <sz val="12"/>
        <color rgb="FF002060"/>
        <rFont val="Times New Roman"/>
        <family val="1"/>
      </rPr>
      <t>10+</t>
    </r>
    <r>
      <rPr>
        <sz val="12"/>
        <color rgb="FF002060"/>
        <rFont val="Times New Roman"/>
        <family val="1"/>
      </rPr>
      <t xml:space="preserve"> = </t>
    </r>
  </si>
  <si>
    <r>
      <t>s</t>
    </r>
    <r>
      <rPr>
        <vertAlign val="subscript"/>
        <sz val="12"/>
        <color rgb="FF002060"/>
        <rFont val="Times New Roman"/>
        <family val="1"/>
      </rPr>
      <t>1-10</t>
    </r>
    <r>
      <rPr>
        <sz val="12"/>
        <color rgb="FF002060"/>
        <rFont val="Times New Roman"/>
        <family val="1"/>
      </rPr>
      <t xml:space="preserve"> =</t>
    </r>
  </si>
  <si>
    <t>The annual bond yield spreads have been determined as follows:</t>
  </si>
  <si>
    <t>=</t>
  </si>
  <si>
    <t>per annum</t>
  </si>
  <si>
    <t>Government of Canada bond yield</t>
  </si>
  <si>
    <t>V122553</t>
  </si>
  <si>
    <t>min (ITA max, plan benefit)</t>
  </si>
  <si>
    <t>Monthly benefit payable =</t>
  </si>
  <si>
    <t>Long-term Government of Canada benchmark bond yield</t>
  </si>
  <si>
    <t>V122544</t>
  </si>
  <si>
    <t xml:space="preserve">The commuted value is $713,689. </t>
  </si>
  <si>
    <t>7-year Government of Canada benchmark bond yield</t>
  </si>
  <si>
    <t>V122542</t>
  </si>
  <si>
    <t xml:space="preserve">The member's pension benefit is capped by the ITA limit. </t>
  </si>
  <si>
    <t>Rate</t>
  </si>
  <si>
    <t>Description</t>
  </si>
  <si>
    <t>Series</t>
  </si>
  <si>
    <t>CV at EURD (age 57)</t>
  </si>
  <si>
    <t>Monthly ITA limit =</t>
  </si>
  <si>
    <t>You are given the following information:</t>
  </si>
  <si>
    <t>Optimal CV</t>
  </si>
  <si>
    <t>DB Limit * Credited Service * ITA ERF</t>
  </si>
  <si>
    <t>Annual ITA  limit =</t>
  </si>
  <si>
    <t>Calculate the commute value payable to the member</t>
  </si>
  <si>
    <t xml:space="preserve">Calculate the monthly pension payable from the pension plan assuming immediate retirement.  </t>
  </si>
  <si>
    <r>
      <t xml:space="preserve">(2 </t>
    </r>
    <r>
      <rPr>
        <i/>
        <sz val="12"/>
        <color rgb="FF002060"/>
        <rFont val="Times New Roman"/>
        <family val="1"/>
      </rPr>
      <t>points</t>
    </r>
    <r>
      <rPr>
        <sz val="12"/>
        <color rgb="FF002060"/>
        <rFont val="Times New Roman"/>
        <family val="1"/>
      </rPr>
      <t>)</t>
    </r>
  </si>
  <si>
    <t>a)</t>
  </si>
  <si>
    <t xml:space="preserve">The earliest condition met is 80 points, therefore member has an ITA ERF of 9%. </t>
  </si>
  <si>
    <t xml:space="preserve"> </t>
  </si>
  <si>
    <t>Maximum CV</t>
  </si>
  <si>
    <t>Since the commuted value is highest at age 56, the optimal age CV is 722,498.</t>
  </si>
  <si>
    <r>
      <t>i</t>
    </r>
    <r>
      <rPr>
        <b/>
        <vertAlign val="subscript"/>
        <sz val="12"/>
        <color theme="1"/>
        <rFont val="Times New Roman"/>
        <family val="1"/>
      </rPr>
      <t>10+</t>
    </r>
    <r>
      <rPr>
        <b/>
        <sz val="12"/>
        <color theme="1"/>
        <rFont val="Times New Roman"/>
        <family val="1"/>
      </rPr>
      <t xml:space="preserve"> =</t>
    </r>
  </si>
  <si>
    <r>
      <t>i</t>
    </r>
    <r>
      <rPr>
        <b/>
        <vertAlign val="subscript"/>
        <sz val="12"/>
        <color theme="1"/>
        <rFont val="Times New Roman"/>
        <family val="1"/>
      </rPr>
      <t>1-10</t>
    </r>
    <r>
      <rPr>
        <b/>
        <sz val="12"/>
        <color theme="1"/>
        <rFont val="Times New Roman"/>
        <family val="1"/>
      </rPr>
      <t xml:space="preserve"> =</t>
    </r>
  </si>
  <si>
    <t>Final Average Earnings</t>
  </si>
  <si>
    <r>
      <t>i</t>
    </r>
    <r>
      <rPr>
        <vertAlign val="superscript"/>
        <sz val="12"/>
        <color theme="1"/>
        <rFont val="Times New Roman"/>
        <family val="1"/>
      </rPr>
      <t>L</t>
    </r>
    <r>
      <rPr>
        <vertAlign val="subscript"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+ 0.5*(i</t>
    </r>
    <r>
      <rPr>
        <vertAlign val="superscript"/>
        <sz val="12"/>
        <color theme="1"/>
        <rFont val="Times New Roman"/>
        <family val="1"/>
      </rPr>
      <t>L</t>
    </r>
    <r>
      <rPr>
        <sz val="12"/>
        <color theme="1"/>
        <rFont val="Times New Roman"/>
        <family val="1"/>
      </rPr>
      <t xml:space="preserve"> - i</t>
    </r>
    <r>
      <rPr>
        <vertAlign val="superscript"/>
        <sz val="12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>) +s</t>
    </r>
    <r>
      <rPr>
        <vertAlign val="subscript"/>
        <sz val="12"/>
        <color theme="1"/>
        <rFont val="Times New Roman"/>
        <family val="1"/>
      </rPr>
      <t>10+</t>
    </r>
  </si>
  <si>
    <r>
      <t>i</t>
    </r>
    <r>
      <rPr>
        <vertAlign val="subscript"/>
        <sz val="12"/>
        <color theme="1"/>
        <rFont val="Times New Roman"/>
        <family val="1"/>
      </rPr>
      <t>10+</t>
    </r>
    <r>
      <rPr>
        <sz val="12"/>
        <color theme="1"/>
        <rFont val="Times New Roman"/>
        <family val="1"/>
      </rPr>
      <t xml:space="preserve"> =</t>
    </r>
  </si>
  <si>
    <r>
      <t>i</t>
    </r>
    <r>
      <rPr>
        <vertAlign val="superscript"/>
        <sz val="12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 xml:space="preserve"> + s</t>
    </r>
    <r>
      <rPr>
        <vertAlign val="subscript"/>
        <sz val="12"/>
        <color theme="1"/>
        <rFont val="Times New Roman"/>
        <family val="1"/>
      </rPr>
      <t>1-10</t>
    </r>
  </si>
  <si>
    <r>
      <t>i</t>
    </r>
    <r>
      <rPr>
        <vertAlign val="subscript"/>
        <sz val="12"/>
        <color theme="1"/>
        <rFont val="Times New Roman"/>
        <family val="1"/>
      </rPr>
      <t>1-10</t>
    </r>
    <r>
      <rPr>
        <sz val="12"/>
        <color theme="1"/>
        <rFont val="Times New Roman"/>
        <family val="1"/>
      </rPr>
      <t xml:space="preserve"> =</t>
    </r>
  </si>
  <si>
    <t>no grow-in (voluntary)</t>
  </si>
  <si>
    <t>No</t>
  </si>
  <si>
    <t>80 points</t>
  </si>
  <si>
    <t>Years of Service</t>
  </si>
  <si>
    <t>30 years of service</t>
  </si>
  <si>
    <t>Member's Age</t>
  </si>
  <si>
    <t>Calculate the non-indexed interest rates using bond yield spreads provided:</t>
  </si>
  <si>
    <t>Age 60</t>
  </si>
  <si>
    <t>Reduction</t>
  </si>
  <si>
    <t>Met</t>
  </si>
  <si>
    <t>Condition</t>
  </si>
  <si>
    <t>information at their termination date:</t>
  </si>
  <si>
    <r>
      <t>r</t>
    </r>
    <r>
      <rPr>
        <vertAlign val="superscript"/>
        <sz val="12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>=</t>
    </r>
  </si>
  <si>
    <t xml:space="preserve">0.25% per month from the earlier of </t>
  </si>
  <si>
    <t>ITA ERF =</t>
  </si>
  <si>
    <t xml:space="preserve">A member has voluntarily terminated their employment.  You are given the following </t>
  </si>
  <si>
    <r>
      <t>((1+r</t>
    </r>
    <r>
      <rPr>
        <vertAlign val="superscript"/>
        <sz val="12"/>
        <color theme="1"/>
        <rFont val="Times New Roman"/>
        <family val="1"/>
      </rPr>
      <t>L</t>
    </r>
    <r>
      <rPr>
        <sz val="12"/>
        <color theme="1"/>
        <rFont val="Times New Roman"/>
        <family val="1"/>
      </rPr>
      <t>)*(1+i</t>
    </r>
    <r>
      <rPr>
        <vertAlign val="superscript"/>
        <sz val="12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>)/(1+i</t>
    </r>
    <r>
      <rPr>
        <vertAlign val="superscript"/>
        <sz val="12"/>
        <color theme="1"/>
        <rFont val="Times New Roman"/>
        <family val="1"/>
      </rPr>
      <t>L</t>
    </r>
    <r>
      <rPr>
        <sz val="12"/>
        <color theme="1"/>
        <rFont val="Times New Roman"/>
        <family val="1"/>
      </rPr>
      <t>))-1</t>
    </r>
  </si>
  <si>
    <r>
      <t>r</t>
    </r>
    <r>
      <rPr>
        <vertAlign val="superscript"/>
        <sz val="12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 xml:space="preserve"> =</t>
    </r>
  </si>
  <si>
    <t>Defined Benefit Limit:</t>
  </si>
  <si>
    <r>
      <t>Calculate r</t>
    </r>
    <r>
      <rPr>
        <b/>
        <vertAlign val="superscript"/>
        <sz val="12"/>
        <color theme="1"/>
        <rFont val="Times New Roman"/>
        <family val="1"/>
      </rPr>
      <t>7</t>
    </r>
    <r>
      <rPr>
        <b/>
        <sz val="12"/>
        <color theme="1"/>
        <rFont val="Times New Roman"/>
        <family val="1"/>
      </rPr>
      <t xml:space="preserve"> using above values and estimation formula: </t>
    </r>
  </si>
  <si>
    <t>DB Limit * Credited Service</t>
  </si>
  <si>
    <t>As per the Income Tax Act (ITA)</t>
  </si>
  <si>
    <t>Maximum Benefit:</t>
  </si>
  <si>
    <t>Calculate ITA maximum benefit</t>
  </si>
  <si>
    <t>payable before NRA</t>
  </si>
  <si>
    <t>EURD CV</t>
  </si>
  <si>
    <r>
      <t>r</t>
    </r>
    <r>
      <rPr>
        <vertAlign val="superscript"/>
        <sz val="12"/>
        <color theme="1"/>
        <rFont val="Times New Roman"/>
        <family val="1"/>
      </rPr>
      <t>L</t>
    </r>
    <r>
      <rPr>
        <sz val="12"/>
        <color theme="1"/>
        <rFont val="Times New Roman"/>
        <family val="1"/>
      </rPr>
      <t>=</t>
    </r>
  </si>
  <si>
    <t>Commuted value of a deferred pension,</t>
  </si>
  <si>
    <t>Termination Benefit:</t>
  </si>
  <si>
    <r>
      <t>i</t>
    </r>
    <r>
      <rPr>
        <vertAlign val="superscript"/>
        <sz val="12"/>
        <color theme="1"/>
        <rFont val="Times New Roman"/>
        <family val="1"/>
      </rPr>
      <t>L</t>
    </r>
    <r>
      <rPr>
        <sz val="12"/>
        <color theme="1"/>
        <rFont val="Times New Roman"/>
        <family val="1"/>
      </rPr>
      <t>=</t>
    </r>
  </si>
  <si>
    <t xml:space="preserve">Member has over 20 years of service therefore is unreduced. </t>
  </si>
  <si>
    <t>unreduced with 20 years of service</t>
  </si>
  <si>
    <r>
      <t>i</t>
    </r>
    <r>
      <rPr>
        <vertAlign val="superscript"/>
        <sz val="12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>=</t>
    </r>
  </si>
  <si>
    <t>Check if member is unreduced at retirement</t>
  </si>
  <si>
    <t>Reduction of 3% per year before NRA,</t>
  </si>
  <si>
    <t>Early Retirement Benefit:</t>
  </si>
  <si>
    <t>Capped Benefit</t>
  </si>
  <si>
    <t>ITA ERF</t>
  </si>
  <si>
    <t>ITA Limit</t>
  </si>
  <si>
    <t>Plan ERF</t>
  </si>
  <si>
    <t>Monthly pension</t>
  </si>
  <si>
    <t>Points</t>
  </si>
  <si>
    <t xml:space="preserve">Age </t>
  </si>
  <si>
    <t>Annual Rate</t>
  </si>
  <si>
    <t>Semi-annual rate</t>
  </si>
  <si>
    <t>Early Retirement Age:</t>
  </si>
  <si>
    <t>Calculate the commuted value at each age to determine optimal age</t>
  </si>
  <si>
    <t xml:space="preserve">Monthly benefit = </t>
  </si>
  <si>
    <t>Normal Retirement Age (NRA):</t>
  </si>
  <si>
    <r>
      <t>i = (1+ (i2/2)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 -1</t>
    </r>
  </si>
  <si>
    <r>
      <t>i</t>
    </r>
    <r>
      <rPr>
        <vertAlign val="superscript"/>
        <sz val="12"/>
        <color theme="1"/>
        <rFont val="Times New Roman"/>
        <family val="1"/>
      </rPr>
      <t>2</t>
    </r>
  </si>
  <si>
    <t xml:space="preserve"> = </t>
  </si>
  <si>
    <t>Life only, guaranteed for 5 years</t>
  </si>
  <si>
    <t>Normal Form of Pension:</t>
  </si>
  <si>
    <t xml:space="preserve">According to the CIA SOP, the Earliest Unreduced Retirement Date if a member is affected by the ITA limits is the age that the pension does not include a reduction for early commencement. </t>
  </si>
  <si>
    <t>2% * 180,000 * 22</t>
  </si>
  <si>
    <t xml:space="preserve">Annual benefit = </t>
  </si>
  <si>
    <t>2% x Final Average Earnings per year of credited service</t>
  </si>
  <si>
    <t>Normal Retirement Benefit:</t>
  </si>
  <si>
    <t>Determine the earliest unreduced retirement date</t>
  </si>
  <si>
    <t>Annualize Government of Canada rates as they are semi-annual</t>
  </si>
  <si>
    <t>Calculate pension benefit under the normal form</t>
  </si>
  <si>
    <t>following plan provisions:</t>
  </si>
  <si>
    <t>You are the actuary for a non-contributory defined benefit pension plan registered in Ontario.  You are provided the</t>
  </si>
  <si>
    <r>
      <t xml:space="preserve">(7 </t>
    </r>
    <r>
      <rPr>
        <i/>
        <sz val="12"/>
        <color rgb="FF002060"/>
        <rFont val="Times New Roman"/>
        <family val="1"/>
      </rPr>
      <t>points</t>
    </r>
    <r>
      <rPr>
        <sz val="12"/>
        <color rgb="FF002060"/>
        <rFont val="Times New Roman"/>
        <family val="1"/>
      </rPr>
      <t>)</t>
    </r>
  </si>
  <si>
    <t>Question 4 - Model Solution</t>
  </si>
  <si>
    <t>Three-year SIC</t>
  </si>
  <si>
    <t>Link final results below and show all work including formulas in the workspace provided to the right (in Excel).</t>
  </si>
  <si>
    <t>Calculate the SIC for the three-year inter-valuation period.</t>
  </si>
  <si>
    <t>(d)</t>
  </si>
  <si>
    <t>Projected solvency liabilities - portion assumed to be settled by annuity purchase</t>
  </si>
  <si>
    <t>Projected solvency liabilities - portion assumed to be settled by lump sum</t>
  </si>
  <si>
    <t>Expected Benefit Payments (mid year timing)</t>
  </si>
  <si>
    <t>Solvency discount rate for annuity purchases</t>
  </si>
  <si>
    <t>Solvency discount rate for lump sum transfers</t>
  </si>
  <si>
    <t>Going concern discount rate</t>
  </si>
  <si>
    <t>Next Calculation date</t>
  </si>
  <si>
    <t>Valuation date</t>
  </si>
  <si>
    <t>You are provided following for Plan C:</t>
  </si>
  <si>
    <t>Provide your answer in the Word file.</t>
  </si>
  <si>
    <t xml:space="preserve">Describe how you would reflect the annuity quotation in determining the solvency liabilities for the January 1, 2025 valuation.  </t>
  </si>
  <si>
    <t>(c)</t>
  </si>
  <si>
    <t>TOTAL incremental cost based on period covered between current and Next Valuation Date</t>
  </si>
  <si>
    <t>Identify which plan(s) would have a SIC greater than zero. Justify your answer.</t>
  </si>
  <si>
    <t>(2 points)</t>
  </si>
  <si>
    <t xml:space="preserve"> the solvency liability at Valuation Date</t>
  </si>
  <si>
    <t>less</t>
  </si>
  <si>
    <r>
      <t>·</t>
    </r>
    <r>
      <rPr>
        <sz val="7"/>
        <color rgb="FF002060"/>
        <rFont val="Times New Roman"/>
        <family val="1"/>
      </rPr>
      <t xml:space="preserve">         </t>
    </r>
    <r>
      <rPr>
        <sz val="12"/>
        <color rgb="FF002060"/>
        <rFont val="Times New Roman"/>
        <family val="1"/>
      </rPr>
      <t xml:space="preserve">Both Plan A and Plan B have no expected decrements between January 1, 2025 and January 1, 2028.  </t>
    </r>
  </si>
  <si>
    <t>(b) projected solvency liabilities,  discounted to Valuation Date</t>
  </si>
  <si>
    <r>
      <t xml:space="preserve">(a) expected benefit payments during period discounted at Valuation Date, </t>
    </r>
    <r>
      <rPr>
        <i/>
        <sz val="12"/>
        <rFont val="Times New Roman"/>
        <family val="1"/>
      </rPr>
      <t>plus</t>
    </r>
  </si>
  <si>
    <r>
      <t>·</t>
    </r>
    <r>
      <rPr>
        <sz val="7"/>
        <color rgb="FF002060"/>
        <rFont val="Times New Roman"/>
        <family val="1"/>
      </rPr>
      <t xml:space="preserve">         </t>
    </r>
    <r>
      <rPr>
        <sz val="12"/>
        <color rgb="FF002060"/>
        <rFont val="Times New Roman"/>
        <family val="1"/>
      </rPr>
      <t xml:space="preserve">Plan C has actives, pensioners, and deferred vested members who were involuntarily terminated from employment in Ontario with age plus service (points) over 55.  A portion of Plan C’s active members will become eligible for subsidized early retirement at age 60 between January 1, 2025 and January 1, 2028.  </t>
    </r>
  </si>
  <si>
    <r>
      <t>·</t>
    </r>
    <r>
      <rPr>
        <sz val="7"/>
        <color rgb="FF002060"/>
        <rFont val="Times New Roman"/>
        <family val="1"/>
      </rPr>
      <t xml:space="preserve">         </t>
    </r>
    <r>
      <rPr>
        <sz val="12"/>
        <color rgb="FF002060"/>
        <rFont val="Times New Roman"/>
        <family val="1"/>
      </rPr>
      <t xml:space="preserve">Plan B has frozen credited service and frozen final average earnings as of January 1, 2025 with only active members.  </t>
    </r>
  </si>
  <si>
    <r>
      <t>·</t>
    </r>
    <r>
      <rPr>
        <sz val="7"/>
        <color rgb="FF002060"/>
        <rFont val="Times New Roman"/>
        <family val="1"/>
      </rPr>
      <t xml:space="preserve">         </t>
    </r>
    <r>
      <rPr>
        <sz val="12"/>
        <color rgb="FF002060"/>
        <rFont val="Times New Roman"/>
        <family val="1"/>
      </rPr>
      <t xml:space="preserve">Plan A has frozen credited service as of January 1, 2025 with only active members.  </t>
    </r>
  </si>
  <si>
    <t>Solvency Liabilities (annuity purchase) discounted to time 0</t>
  </si>
  <si>
    <t xml:space="preserve">You are given:  </t>
  </si>
  <si>
    <t>Solvency Liabilities (lump sum) discounted to time 0</t>
  </si>
  <si>
    <t xml:space="preserve">You are the actuary of three Ontario registered defined pension plans with benefits based on final average earnings.  </t>
  </si>
  <si>
    <t>Expected benefits payments discounted to time 0</t>
  </si>
  <si>
    <t>Answer:</t>
  </si>
  <si>
    <t>Compare and contrast the solvency incremental cost (SIC) and the going concern normal cost (NC).</t>
  </si>
  <si>
    <t>(2 point)</t>
  </si>
  <si>
    <t>d)   Answer question here:</t>
  </si>
  <si>
    <t>Question 5 - Model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</si>
</sst>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&quot;$&quot;#,##0.00;[Red]\-&quot;$&quot;#,##0.00"/>
    <numFmt numFmtId="166" formatCode="[$-409]dd\-mmm\-yyyy;@"/>
    <numFmt numFmtId="167" formatCode="_(* #,##0_);_(* \(#,##0\);_(* &quot;-&quot;??_);_(@_)"/>
    <numFmt numFmtId="168" formatCode="&quot;$&quot;#,##0.00"/>
    <numFmt numFmtId="169" formatCode="_-* #,##0.00_-;\-* #,##0.00_-;_-* &quot;-&quot;??_-;_-@_-"/>
    <numFmt numFmtId="170" formatCode="_-* #,##0_-;\-* #,##0_-;_-* &quot;-&quot;??_-;_-@_-"/>
    <numFmt numFmtId="171" formatCode="[$-409]mmmm\ d\,\ yyyy;@"/>
    <numFmt numFmtId="172" formatCode="_(* #,##0.0_);_(* \(#,##0.0\);_(* &quot;-&quot;??_);_(@_)"/>
    <numFmt numFmtId="173" formatCode="0.00000%"/>
    <numFmt numFmtId="174" formatCode="0.0000%"/>
  </numFmts>
  <fonts count="3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2060"/>
      <name val="Times New Roman"/>
      <family val="1"/>
    </font>
    <font>
      <b/>
      <sz val="12"/>
      <color rgb="FF002060"/>
      <name val="Times New Roman"/>
      <family val="1"/>
    </font>
    <font>
      <b/>
      <sz val="14"/>
      <color rgb="FF002060"/>
      <name val="Times New Roman"/>
      <family val="1"/>
    </font>
    <font>
      <u/>
      <sz val="12"/>
      <color theme="1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2"/>
      <name val="Times New Roman"/>
      <family val="1"/>
    </font>
    <font>
      <sz val="10"/>
      <name val="Calibri"/>
      <family val="2"/>
    </font>
    <font>
      <sz val="12"/>
      <name val="Symbol"/>
      <family val="1"/>
      <charset val="2"/>
    </font>
    <font>
      <sz val="7"/>
      <name val="Times New Roman"/>
      <family val="1"/>
    </font>
    <font>
      <vertAlign val="sub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theme="1"/>
      <name val="Abadi"/>
      <family val="2"/>
    </font>
    <font>
      <b/>
      <i/>
      <sz val="12"/>
      <name val="Times New Roman"/>
      <family val="1"/>
    </font>
    <font>
      <b/>
      <sz val="14"/>
      <name val="Times New Roman"/>
      <family val="1"/>
    </font>
    <font>
      <i/>
      <sz val="12"/>
      <color rgb="FF002060"/>
      <name val="Times New Roman"/>
      <family val="1"/>
    </font>
    <font>
      <b/>
      <u/>
      <sz val="12"/>
      <color rgb="FF002060"/>
      <name val="Times New Roman"/>
      <family val="1"/>
    </font>
    <font>
      <sz val="12"/>
      <color theme="4" tint="-0.499984740745262"/>
      <name val="Times New Roman"/>
      <family val="1"/>
    </font>
    <font>
      <vertAlign val="subscript"/>
      <sz val="12"/>
      <color rgb="FF002060"/>
      <name val="Times New Roman"/>
      <family val="1"/>
    </font>
    <font>
      <b/>
      <sz val="12"/>
      <color theme="4" tint="-0.499984740745262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sz val="10"/>
      <color theme="1"/>
      <name val="Arial"/>
      <family val="2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b/>
      <i/>
      <u/>
      <sz val="10"/>
      <color rgb="FF002060"/>
      <name val="Arial"/>
      <family val="2"/>
    </font>
    <font>
      <sz val="7"/>
      <color rgb="FF00206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9D9D9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31" fillId="0" borderId="0"/>
    <xf numFmtId="0" fontId="35" fillId="0" borderId="0"/>
    <xf numFmtId="9" fontId="35" fillId="0" borderId="0" applyFont="0" applyFill="0" applyBorder="0" applyAlignment="0" applyProtection="0"/>
    <xf numFmtId="0" fontId="35" fillId="0" borderId="0"/>
    <xf numFmtId="0" fontId="35" fillId="0" borderId="0"/>
  </cellStyleXfs>
  <cellXfs count="304">
    <xf numFmtId="0" fontId="0" fillId="0" borderId="0" xfId="0"/>
    <xf numFmtId="0" fontId="1" fillId="0" borderId="0" xfId="0" applyFont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1" fillId="2" borderId="0" xfId="0" applyFont="1" applyFill="1"/>
    <xf numFmtId="6" fontId="1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6" fontId="1" fillId="2" borderId="1" xfId="0" applyNumberFormat="1" applyFont="1" applyFill="1" applyBorder="1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top" wrapText="1"/>
    </xf>
    <xf numFmtId="6" fontId="1" fillId="2" borderId="0" xfId="0" applyNumberFormat="1" applyFont="1" applyFill="1" applyAlignment="1">
      <alignment vertical="center" wrapText="1"/>
    </xf>
    <xf numFmtId="6" fontId="1" fillId="2" borderId="0" xfId="0" applyNumberFormat="1" applyFont="1" applyFill="1"/>
    <xf numFmtId="0" fontId="6" fillId="2" borderId="0" xfId="0" applyFont="1" applyFill="1"/>
    <xf numFmtId="0" fontId="7" fillId="2" borderId="0" xfId="0" applyFont="1" applyFill="1"/>
    <xf numFmtId="0" fontId="1" fillId="2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left"/>
    </xf>
    <xf numFmtId="0" fontId="6" fillId="0" borderId="0" xfId="0" applyFont="1"/>
    <xf numFmtId="0" fontId="8" fillId="2" borderId="0" xfId="0" applyFont="1" applyFill="1"/>
    <xf numFmtId="0" fontId="9" fillId="2" borderId="0" xfId="0" applyFont="1" applyFill="1"/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0" fontId="11" fillId="0" borderId="0" xfId="0" applyFont="1" applyAlignment="1">
      <alignment horizontal="center" vertical="center"/>
    </xf>
    <xf numFmtId="6" fontId="1" fillId="0" borderId="0" xfId="0" applyNumberFormat="1" applyFont="1"/>
    <xf numFmtId="5" fontId="1" fillId="0" borderId="0" xfId="0" applyNumberFormat="1" applyFont="1"/>
    <xf numFmtId="0" fontId="1" fillId="0" borderId="6" xfId="0" applyFont="1" applyBorder="1"/>
    <xf numFmtId="6" fontId="1" fillId="0" borderId="6" xfId="0" applyNumberFormat="1" applyFont="1" applyBorder="1"/>
    <xf numFmtId="167" fontId="1" fillId="0" borderId="6" xfId="0" applyNumberFormat="1" applyFont="1" applyBorder="1"/>
    <xf numFmtId="10" fontId="1" fillId="2" borderId="11" xfId="0" applyNumberFormat="1" applyFont="1" applyFill="1" applyBorder="1" applyAlignment="1">
      <alignment vertical="center" wrapText="1"/>
    </xf>
    <xf numFmtId="10" fontId="1" fillId="2" borderId="10" xfId="0" applyNumberFormat="1" applyFont="1" applyFill="1" applyBorder="1" applyAlignment="1">
      <alignment vertical="center" wrapText="1"/>
    </xf>
    <xf numFmtId="5" fontId="1" fillId="0" borderId="6" xfId="0" applyNumberFormat="1" applyFont="1" applyBorder="1"/>
    <xf numFmtId="5" fontId="1" fillId="0" borderId="12" xfId="0" applyNumberFormat="1" applyFont="1" applyBorder="1"/>
    <xf numFmtId="0" fontId="13" fillId="0" borderId="0" xfId="0" applyFont="1"/>
    <xf numFmtId="0" fontId="13" fillId="0" borderId="0" xfId="0" applyFont="1" applyAlignment="1">
      <alignment horizontal="right"/>
    </xf>
    <xf numFmtId="10" fontId="1" fillId="0" borderId="0" xfId="1" applyNumberFormat="1" applyFont="1"/>
    <xf numFmtId="37" fontId="1" fillId="0" borderId="0" xfId="0" applyNumberFormat="1" applyFont="1"/>
    <xf numFmtId="0" fontId="1" fillId="0" borderId="6" xfId="0" applyFont="1" applyBorder="1" applyAlignment="1">
      <alignment horizontal="center"/>
    </xf>
    <xf numFmtId="3" fontId="1" fillId="0" borderId="0" xfId="0" applyNumberFormat="1" applyFont="1"/>
    <xf numFmtId="3" fontId="1" fillId="0" borderId="6" xfId="0" applyNumberFormat="1" applyFont="1" applyBorder="1"/>
    <xf numFmtId="0" fontId="14" fillId="0" borderId="0" xfId="0" applyFont="1"/>
    <xf numFmtId="0" fontId="13" fillId="0" borderId="6" xfId="0" applyFont="1" applyBorder="1"/>
    <xf numFmtId="0" fontId="13" fillId="0" borderId="0" xfId="0" applyFont="1" applyAlignment="1">
      <alignment horizontal="center" vertical="center"/>
    </xf>
    <xf numFmtId="6" fontId="13" fillId="3" borderId="0" xfId="0" applyNumberFormat="1" applyFont="1" applyFill="1"/>
    <xf numFmtId="5" fontId="13" fillId="3" borderId="0" xfId="0" applyNumberFormat="1" applyFont="1" applyFill="1"/>
    <xf numFmtId="0" fontId="13" fillId="0" borderId="6" xfId="0" applyFont="1" applyBorder="1" applyAlignment="1">
      <alignment horizontal="center"/>
    </xf>
    <xf numFmtId="3" fontId="13" fillId="3" borderId="12" xfId="0" applyNumberFormat="1" applyFont="1" applyFill="1" applyBorder="1"/>
    <xf numFmtId="3" fontId="13" fillId="3" borderId="6" xfId="0" applyNumberFormat="1" applyFont="1" applyFill="1" applyBorder="1"/>
    <xf numFmtId="3" fontId="13" fillId="3" borderId="0" xfId="0" applyNumberFormat="1" applyFont="1" applyFill="1"/>
    <xf numFmtId="0" fontId="11" fillId="0" borderId="0" xfId="0" applyFont="1" applyAlignment="1">
      <alignment horizontal="right"/>
    </xf>
    <xf numFmtId="37" fontId="11" fillId="0" borderId="0" xfId="0" applyNumberFormat="1" applyFont="1"/>
    <xf numFmtId="3" fontId="13" fillId="0" borderId="0" xfId="0" applyNumberFormat="1" applyFont="1"/>
    <xf numFmtId="168" fontId="1" fillId="0" borderId="0" xfId="0" applyNumberFormat="1" applyFont="1"/>
    <xf numFmtId="0" fontId="12" fillId="0" borderId="0" xfId="0" applyFont="1" applyAlignment="1">
      <alignment horizontal="center" vertical="center"/>
    </xf>
    <xf numFmtId="6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6" fillId="4" borderId="0" xfId="0" applyFont="1" applyFill="1"/>
    <xf numFmtId="0" fontId="6" fillId="0" borderId="0" xfId="0" applyFont="1" applyAlignment="1">
      <alignment vertical="center" wrapText="1"/>
    </xf>
    <xf numFmtId="0" fontId="9" fillId="5" borderId="13" xfId="0" applyFont="1" applyFill="1" applyBorder="1"/>
    <xf numFmtId="164" fontId="9" fillId="0" borderId="14" xfId="0" applyNumberFormat="1" applyFont="1" applyBorder="1"/>
    <xf numFmtId="0" fontId="6" fillId="0" borderId="15" xfId="0" applyFont="1" applyBorder="1" applyAlignment="1">
      <alignment horizontal="left" vertical="center" wrapText="1" indent="2"/>
    </xf>
    <xf numFmtId="169" fontId="6" fillId="0" borderId="11" xfId="4" applyFont="1" applyBorder="1"/>
    <xf numFmtId="0" fontId="6" fillId="0" borderId="0" xfId="0" applyFont="1" applyAlignment="1">
      <alignment horizontal="left" vertical="center" wrapText="1" indent="2"/>
    </xf>
    <xf numFmtId="169" fontId="6" fillId="0" borderId="1" xfId="4" applyFont="1" applyBorder="1"/>
    <xf numFmtId="164" fontId="6" fillId="0" borderId="0" xfId="0" applyNumberFormat="1" applyFont="1" applyAlignment="1">
      <alignment vertical="center" wrapText="1"/>
    </xf>
    <xf numFmtId="0" fontId="9" fillId="0" borderId="0" xfId="0" applyFont="1"/>
    <xf numFmtId="169" fontId="6" fillId="0" borderId="0" xfId="4" applyFont="1"/>
    <xf numFmtId="10" fontId="9" fillId="0" borderId="0" xfId="0" applyNumberFormat="1" applyFont="1"/>
    <xf numFmtId="164" fontId="6" fillId="0" borderId="1" xfId="0" applyNumberFormat="1" applyFont="1" applyBorder="1"/>
    <xf numFmtId="0" fontId="6" fillId="0" borderId="1" xfId="0" applyFont="1" applyBorder="1"/>
    <xf numFmtId="0" fontId="9" fillId="0" borderId="1" xfId="0" applyFont="1" applyBorder="1" applyAlignment="1">
      <alignment horizontal="right"/>
    </xf>
    <xf numFmtId="0" fontId="6" fillId="5" borderId="16" xfId="0" applyFont="1" applyFill="1" applyBorder="1"/>
    <xf numFmtId="0" fontId="6" fillId="0" borderId="17" xfId="0" applyFont="1" applyBorder="1" applyAlignment="1">
      <alignment horizontal="right"/>
    </xf>
    <xf numFmtId="0" fontId="6" fillId="0" borderId="18" xfId="0" applyFont="1" applyBorder="1"/>
    <xf numFmtId="14" fontId="6" fillId="0" borderId="0" xfId="0" applyNumberFormat="1" applyFont="1" applyAlignment="1">
      <alignment horizontal="right" vertical="center" wrapText="1"/>
    </xf>
    <xf numFmtId="0" fontId="9" fillId="5" borderId="19" xfId="0" applyFont="1" applyFill="1" applyBorder="1"/>
    <xf numFmtId="165" fontId="9" fillId="0" borderId="0" xfId="0" applyNumberFormat="1" applyFont="1" applyAlignment="1">
      <alignment vertical="center" wrapText="1"/>
    </xf>
    <xf numFmtId="0" fontId="6" fillId="0" borderId="20" xfId="0" applyFont="1" applyBorder="1" applyAlignment="1">
      <alignment horizontal="left" vertical="center" wrapText="1" indent="2"/>
    </xf>
    <xf numFmtId="0" fontId="9" fillId="5" borderId="21" xfId="0" applyFont="1" applyFill="1" applyBorder="1"/>
    <xf numFmtId="0" fontId="6" fillId="0" borderId="22" xfId="0" applyFont="1" applyBorder="1"/>
    <xf numFmtId="0" fontId="15" fillId="0" borderId="23" xfId="0" applyFont="1" applyBorder="1" applyAlignment="1">
      <alignment vertical="top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 indent="2"/>
    </xf>
    <xf numFmtId="9" fontId="6" fillId="0" borderId="0" xfId="1" applyFont="1" applyBorder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5" fillId="0" borderId="0" xfId="0" applyFont="1" applyAlignment="1">
      <alignment vertical="top"/>
    </xf>
    <xf numFmtId="0" fontId="9" fillId="0" borderId="0" xfId="0" applyFont="1" applyAlignment="1">
      <alignment horizontal="left" vertical="top" indent="2"/>
    </xf>
    <xf numFmtId="10" fontId="6" fillId="0" borderId="0" xfId="0" applyNumberFormat="1" applyFont="1"/>
    <xf numFmtId="0" fontId="6" fillId="0" borderId="0" xfId="0" applyFont="1" applyAlignment="1">
      <alignment horizontal="left" vertical="top" indent="2"/>
    </xf>
    <xf numFmtId="10" fontId="6" fillId="0" borderId="0" xfId="1" applyNumberFormat="1" applyFont="1" applyBorder="1" applyAlignment="1">
      <alignment vertical="center" wrapText="1"/>
    </xf>
    <xf numFmtId="170" fontId="6" fillId="0" borderId="1" xfId="0" applyNumberFormat="1" applyFont="1" applyBorder="1"/>
    <xf numFmtId="0" fontId="6" fillId="0" borderId="8" xfId="0" applyFont="1" applyBorder="1"/>
    <xf numFmtId="0" fontId="6" fillId="0" borderId="24" xfId="0" applyFont="1" applyBorder="1" applyAlignment="1">
      <alignment horizontal="right"/>
    </xf>
    <xf numFmtId="165" fontId="9" fillId="0" borderId="25" xfId="0" applyNumberFormat="1" applyFont="1" applyBorder="1" applyAlignment="1">
      <alignment vertical="center" wrapText="1"/>
    </xf>
    <xf numFmtId="0" fontId="6" fillId="0" borderId="26" xfId="0" applyFont="1" applyBorder="1"/>
    <xf numFmtId="0" fontId="6" fillId="6" borderId="0" xfId="0" applyFont="1" applyFill="1"/>
    <xf numFmtId="165" fontId="16" fillId="0" borderId="0" xfId="0" quotePrefix="1" applyNumberFormat="1" applyFont="1" applyAlignment="1">
      <alignment horizontal="left" vertical="center" wrapText="1" indent="1"/>
    </xf>
    <xf numFmtId="0" fontId="16" fillId="0" borderId="0" xfId="0" applyFont="1" applyAlignment="1">
      <alignment vertical="center" wrapText="1"/>
    </xf>
    <xf numFmtId="0" fontId="6" fillId="6" borderId="0" xfId="0" applyFont="1" applyFill="1" applyAlignment="1">
      <alignment horizontal="left" vertical="top" wrapText="1"/>
    </xf>
    <xf numFmtId="2" fontId="6" fillId="6" borderId="1" xfId="0" applyNumberFormat="1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 vertical="center" indent="7"/>
    </xf>
    <xf numFmtId="0" fontId="6" fillId="2" borderId="0" xfId="0" applyFont="1" applyFill="1" applyAlignment="1">
      <alignment horizontal="left" wrapText="1"/>
    </xf>
    <xf numFmtId="0" fontId="17" fillId="6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wrapText="1"/>
    </xf>
    <xf numFmtId="164" fontId="6" fillId="0" borderId="0" xfId="0" applyNumberFormat="1" applyFont="1"/>
    <xf numFmtId="0" fontId="6" fillId="2" borderId="0" xfId="0" applyFont="1" applyFill="1" applyAlignment="1">
      <alignment vertical="center" wrapText="1"/>
    </xf>
    <xf numFmtId="0" fontId="19" fillId="6" borderId="13" xfId="0" applyFont="1" applyFill="1" applyBorder="1" applyAlignment="1">
      <alignment vertical="center"/>
    </xf>
    <xf numFmtId="0" fontId="19" fillId="6" borderId="13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vertical="center"/>
    </xf>
    <xf numFmtId="0" fontId="1" fillId="6" borderId="13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6" fillId="2" borderId="0" xfId="0" applyFont="1" applyFill="1" applyAlignment="1">
      <alignment vertical="top" wrapText="1"/>
    </xf>
    <xf numFmtId="165" fontId="6" fillId="0" borderId="0" xfId="0" applyNumberFormat="1" applyFont="1"/>
    <xf numFmtId="14" fontId="6" fillId="4" borderId="0" xfId="0" applyNumberFormat="1" applyFont="1" applyFill="1"/>
    <xf numFmtId="0" fontId="15" fillId="2" borderId="0" xfId="0" applyFont="1" applyFill="1"/>
    <xf numFmtId="14" fontId="6" fillId="0" borderId="0" xfId="0" applyNumberFormat="1" applyFont="1"/>
    <xf numFmtId="9" fontId="6" fillId="0" borderId="0" xfId="0" applyNumberFormat="1" applyFont="1"/>
    <xf numFmtId="164" fontId="6" fillId="2" borderId="1" xfId="0" applyNumberFormat="1" applyFont="1" applyFill="1" applyBorder="1" applyAlignment="1">
      <alignment horizontal="right"/>
    </xf>
    <xf numFmtId="164" fontId="6" fillId="2" borderId="8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top"/>
    </xf>
    <xf numFmtId="10" fontId="6" fillId="2" borderId="1" xfId="0" applyNumberFormat="1" applyFont="1" applyFill="1" applyBorder="1" applyAlignment="1">
      <alignment horizontal="right"/>
    </xf>
    <xf numFmtId="10" fontId="6" fillId="2" borderId="8" xfId="0" applyNumberFormat="1" applyFont="1" applyFill="1" applyBorder="1" applyAlignment="1">
      <alignment horizontal="right"/>
    </xf>
    <xf numFmtId="10" fontId="6" fillId="0" borderId="0" xfId="1" applyNumberFormat="1" applyFont="1"/>
    <xf numFmtId="171" fontId="6" fillId="2" borderId="1" xfId="0" quotePrefix="1" applyNumberFormat="1" applyFont="1" applyFill="1" applyBorder="1" applyAlignment="1">
      <alignment horizontal="right"/>
    </xf>
    <xf numFmtId="171" fontId="6" fillId="2" borderId="8" xfId="0" quotePrefix="1" applyNumberFormat="1" applyFont="1" applyFill="1" applyBorder="1" applyAlignment="1">
      <alignment horizontal="right"/>
    </xf>
    <xf numFmtId="170" fontId="6" fillId="2" borderId="1" xfId="4" applyNumberFormat="1" applyFont="1" applyFill="1" applyBorder="1" applyAlignment="1">
      <alignment horizontal="right"/>
    </xf>
    <xf numFmtId="170" fontId="6" fillId="2" borderId="8" xfId="4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vertical="top"/>
    </xf>
    <xf numFmtId="0" fontId="6" fillId="2" borderId="9" xfId="0" applyFont="1" applyFill="1" applyBorder="1" applyAlignment="1">
      <alignment horizontal="left" vertical="top" wrapText="1"/>
    </xf>
    <xf numFmtId="0" fontId="6" fillId="2" borderId="2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22" fillId="2" borderId="0" xfId="0" applyFont="1" applyFill="1" applyAlignment="1">
      <alignment horizontal="right"/>
    </xf>
    <xf numFmtId="0" fontId="23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right"/>
    </xf>
    <xf numFmtId="172" fontId="2" fillId="2" borderId="1" xfId="2" applyNumberFormat="1" applyFont="1" applyFill="1" applyBorder="1" applyAlignment="1">
      <alignment vertical="center"/>
    </xf>
    <xf numFmtId="167" fontId="2" fillId="2" borderId="1" xfId="2" applyNumberFormat="1" applyFont="1" applyFill="1" applyBorder="1" applyAlignment="1">
      <alignment vertical="center"/>
    </xf>
    <xf numFmtId="14" fontId="2" fillId="2" borderId="0" xfId="0" applyNumberFormat="1" applyFont="1" applyFill="1"/>
    <xf numFmtId="0" fontId="3" fillId="2" borderId="1" xfId="0" applyFont="1" applyFill="1" applyBorder="1" applyAlignment="1">
      <alignment wrapText="1"/>
    </xf>
    <xf numFmtId="0" fontId="25" fillId="2" borderId="0" xfId="0" applyFont="1" applyFill="1"/>
    <xf numFmtId="0" fontId="26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vertical="top"/>
    </xf>
    <xf numFmtId="0" fontId="24" fillId="2" borderId="0" xfId="0" applyFont="1" applyFill="1"/>
    <xf numFmtId="173" fontId="2" fillId="2" borderId="0" xfId="0" applyNumberFormat="1" applyFont="1" applyFill="1"/>
    <xf numFmtId="44" fontId="13" fillId="7" borderId="0" xfId="0" applyNumberFormat="1" applyFont="1" applyFill="1"/>
    <xf numFmtId="0" fontId="13" fillId="0" borderId="0" xfId="0" quotePrefix="1" applyFont="1" applyAlignment="1">
      <alignment horizontal="right"/>
    </xf>
    <xf numFmtId="0" fontId="2" fillId="2" borderId="9" xfId="0" applyFont="1" applyFill="1" applyBorder="1" applyAlignment="1">
      <alignment horizontal="left" vertical="center"/>
    </xf>
    <xf numFmtId="10" fontId="26" fillId="2" borderId="8" xfId="0" applyNumberFormat="1" applyFont="1" applyFill="1" applyBorder="1" applyAlignment="1">
      <alignment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2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0" fontId="13" fillId="0" borderId="0" xfId="0" quotePrefix="1" applyFont="1"/>
    <xf numFmtId="0" fontId="13" fillId="7" borderId="0" xfId="0" applyFont="1" applyFill="1"/>
    <xf numFmtId="0" fontId="28" fillId="2" borderId="9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vertical="center" wrapText="1"/>
    </xf>
    <xf numFmtId="167" fontId="13" fillId="0" borderId="0" xfId="2" applyNumberFormat="1" applyFont="1"/>
    <xf numFmtId="9" fontId="1" fillId="0" borderId="6" xfId="0" applyNumberFormat="1" applyFont="1" applyBorder="1"/>
    <xf numFmtId="44" fontId="1" fillId="0" borderId="0" xfId="0" applyNumberFormat="1" applyFont="1"/>
    <xf numFmtId="0" fontId="1" fillId="0" borderId="0" xfId="0" applyFont="1" applyAlignment="1">
      <alignment horizontal="right" indent="1"/>
    </xf>
    <xf numFmtId="167" fontId="1" fillId="0" borderId="0" xfId="0" applyNumberFormat="1" applyFont="1"/>
    <xf numFmtId="9" fontId="1" fillId="0" borderId="0" xfId="0" applyNumberFormat="1" applyFont="1"/>
    <xf numFmtId="0" fontId="1" fillId="0" borderId="0" xfId="0" quotePrefix="1" applyFont="1" applyAlignment="1">
      <alignment horizontal="right"/>
    </xf>
    <xf numFmtId="167" fontId="13" fillId="0" borderId="0" xfId="0" applyNumberFormat="1" applyFont="1"/>
    <xf numFmtId="10" fontId="13" fillId="7" borderId="0" xfId="1" applyNumberFormat="1" applyFont="1" applyFill="1" applyAlignment="1">
      <alignment horizontal="left"/>
    </xf>
    <xf numFmtId="3" fontId="2" fillId="2" borderId="9" xfId="0" applyNumberFormat="1" applyFont="1" applyFill="1" applyBorder="1"/>
    <xf numFmtId="0" fontId="2" fillId="2" borderId="9" xfId="0" applyFont="1" applyFill="1" applyBorder="1" applyAlignment="1">
      <alignment horizontal="left"/>
    </xf>
    <xf numFmtId="0" fontId="2" fillId="2" borderId="8" xfId="0" applyFont="1" applyFill="1" applyBorder="1"/>
    <xf numFmtId="0" fontId="11" fillId="0" borderId="0" xfId="0" applyFont="1"/>
    <xf numFmtId="9" fontId="1" fillId="0" borderId="7" xfId="1" applyFont="1" applyBorder="1"/>
    <xf numFmtId="0" fontId="1" fillId="0" borderId="5" xfId="0" applyFont="1" applyBorder="1" applyAlignment="1">
      <alignment horizontal="left"/>
    </xf>
    <xf numFmtId="0" fontId="2" fillId="2" borderId="9" xfId="0" applyFont="1" applyFill="1" applyBorder="1"/>
    <xf numFmtId="167" fontId="1" fillId="0" borderId="0" xfId="2" applyNumberFormat="1" applyFont="1"/>
    <xf numFmtId="43" fontId="1" fillId="0" borderId="0" xfId="0" applyNumberFormat="1" applyFont="1"/>
    <xf numFmtId="43" fontId="1" fillId="0" borderId="0" xfId="2" applyFont="1"/>
    <xf numFmtId="9" fontId="1" fillId="0" borderId="28" xfId="1" applyFont="1" applyBorder="1"/>
    <xf numFmtId="0" fontId="1" fillId="0" borderId="29" xfId="0" applyFont="1" applyBorder="1" applyAlignment="1">
      <alignment horizontal="left"/>
    </xf>
    <xf numFmtId="0" fontId="1" fillId="0" borderId="9" xfId="0" applyFont="1" applyBorder="1"/>
    <xf numFmtId="0" fontId="1" fillId="0" borderId="27" xfId="0" applyFont="1" applyBorder="1"/>
    <xf numFmtId="0" fontId="1" fillId="0" borderId="8" xfId="0" applyFont="1" applyBorder="1"/>
    <xf numFmtId="174" fontId="1" fillId="0" borderId="0" xfId="1" applyNumberFormat="1" applyFont="1"/>
    <xf numFmtId="0" fontId="2" fillId="2" borderId="27" xfId="0" applyFont="1" applyFill="1" applyBorder="1"/>
    <xf numFmtId="44" fontId="2" fillId="2" borderId="27" xfId="3" applyFont="1" applyFill="1" applyBorder="1" applyAlignment="1">
      <alignment vertical="top"/>
    </xf>
    <xf numFmtId="10" fontId="1" fillId="0" borderId="0" xfId="0" applyNumberFormat="1" applyFont="1"/>
    <xf numFmtId="0" fontId="13" fillId="0" borderId="0" xfId="0" applyFont="1" applyAlignment="1">
      <alignment wrapText="1"/>
    </xf>
    <xf numFmtId="0" fontId="1" fillId="0" borderId="0" xfId="0" applyFont="1" applyAlignment="1">
      <alignment horizontal="left" indent="1"/>
    </xf>
    <xf numFmtId="0" fontId="1" fillId="0" borderId="0" xfId="0" quotePrefix="1" applyFont="1"/>
    <xf numFmtId="6" fontId="2" fillId="2" borderId="27" xfId="0" applyNumberFormat="1" applyFont="1" applyFill="1" applyBorder="1" applyAlignment="1">
      <alignment horizontal="left"/>
    </xf>
    <xf numFmtId="0" fontId="31" fillId="0" borderId="0" xfId="5"/>
    <xf numFmtId="0" fontId="31" fillId="2" borderId="0" xfId="5" applyFill="1"/>
    <xf numFmtId="167" fontId="2" fillId="8" borderId="1" xfId="5" applyNumberFormat="1" applyFont="1" applyFill="1" applyBorder="1"/>
    <xf numFmtId="0" fontId="2" fillId="2" borderId="0" xfId="5" applyFont="1" applyFill="1"/>
    <xf numFmtId="0" fontId="3" fillId="2" borderId="0" xfId="5" applyFont="1" applyFill="1" applyAlignment="1">
      <alignment horizontal="left"/>
    </xf>
    <xf numFmtId="0" fontId="24" fillId="2" borderId="7" xfId="5" applyFont="1" applyFill="1" applyBorder="1" applyAlignment="1">
      <alignment horizontal="left" vertical="top" wrapText="1"/>
    </xf>
    <xf numFmtId="0" fontId="24" fillId="2" borderId="6" xfId="5" applyFont="1" applyFill="1" applyBorder="1" applyAlignment="1">
      <alignment horizontal="left" vertical="top" wrapText="1"/>
    </xf>
    <xf numFmtId="0" fontId="24" fillId="2" borderId="5" xfId="5" applyFont="1" applyFill="1" applyBorder="1" applyAlignment="1">
      <alignment horizontal="left" vertical="top" wrapText="1"/>
    </xf>
    <xf numFmtId="0" fontId="32" fillId="9" borderId="0" xfId="5" applyFont="1" applyFill="1"/>
    <xf numFmtId="0" fontId="6" fillId="10" borderId="0" xfId="5" applyFont="1" applyFill="1" applyAlignment="1">
      <alignment horizontal="left" vertical="top"/>
    </xf>
    <xf numFmtId="0" fontId="24" fillId="2" borderId="4" xfId="5" applyFont="1" applyFill="1" applyBorder="1" applyAlignment="1">
      <alignment horizontal="left" vertical="top" wrapText="1"/>
    </xf>
    <xf numFmtId="0" fontId="24" fillId="2" borderId="3" xfId="5" applyFont="1" applyFill="1" applyBorder="1" applyAlignment="1">
      <alignment horizontal="left" vertical="top" wrapText="1"/>
    </xf>
    <xf numFmtId="0" fontId="24" fillId="2" borderId="2" xfId="5" applyFont="1" applyFill="1" applyBorder="1" applyAlignment="1">
      <alignment horizontal="left" vertical="top" wrapText="1"/>
    </xf>
    <xf numFmtId="0" fontId="33" fillId="9" borderId="0" xfId="5" applyFont="1" applyFill="1"/>
    <xf numFmtId="0" fontId="2" fillId="10" borderId="0" xfId="5" applyFont="1" applyFill="1"/>
    <xf numFmtId="0" fontId="34" fillId="2" borderId="0" xfId="5" applyFont="1" applyFill="1"/>
    <xf numFmtId="0" fontId="24" fillId="9" borderId="0" xfId="5" applyFont="1" applyFill="1" applyAlignment="1">
      <alignment horizontal="left" vertical="center"/>
    </xf>
    <xf numFmtId="0" fontId="3" fillId="10" borderId="0" xfId="5" applyFont="1" applyFill="1" applyAlignment="1">
      <alignment horizontal="left" vertical="center"/>
    </xf>
    <xf numFmtId="3" fontId="34" fillId="2" borderId="1" xfId="6" applyNumberFormat="1" applyFont="1" applyFill="1" applyBorder="1" applyAlignment="1">
      <alignment horizontal="center" vertical="center"/>
    </xf>
    <xf numFmtId="0" fontId="34" fillId="2" borderId="1" xfId="6" applyFont="1" applyFill="1" applyBorder="1" applyAlignment="1">
      <alignment horizontal="left" vertical="center" wrapText="1"/>
    </xf>
    <xf numFmtId="1" fontId="36" fillId="2" borderId="1" xfId="6" applyNumberFormat="1" applyFont="1" applyFill="1" applyBorder="1" applyAlignment="1">
      <alignment horizontal="center" vertical="center"/>
    </xf>
    <xf numFmtId="0" fontId="34" fillId="2" borderId="1" xfId="6" applyFont="1" applyFill="1" applyBorder="1" applyAlignment="1">
      <alignment vertical="center"/>
    </xf>
    <xf numFmtId="3" fontId="34" fillId="2" borderId="0" xfId="6" applyNumberFormat="1" applyFont="1" applyFill="1" applyAlignment="1">
      <alignment horizontal="center" vertical="center" wrapText="1"/>
    </xf>
    <xf numFmtId="168" fontId="34" fillId="2" borderId="0" xfId="6" applyNumberFormat="1" applyFont="1" applyFill="1" applyAlignment="1">
      <alignment vertical="center"/>
    </xf>
    <xf numFmtId="0" fontId="34" fillId="2" borderId="0" xfId="6" applyFont="1" applyFill="1" applyAlignment="1">
      <alignment vertical="center"/>
    </xf>
    <xf numFmtId="0" fontId="36" fillId="2" borderId="0" xfId="6" applyFont="1" applyFill="1" applyAlignment="1">
      <alignment horizontal="center" vertical="center" wrapText="1"/>
    </xf>
    <xf numFmtId="0" fontId="36" fillId="2" borderId="1" xfId="6" applyFont="1" applyFill="1" applyBorder="1" applyAlignment="1">
      <alignment horizontal="center" vertical="center" wrapText="1"/>
    </xf>
    <xf numFmtId="0" fontId="37" fillId="2" borderId="1" xfId="6" applyFont="1" applyFill="1" applyBorder="1" applyAlignment="1">
      <alignment vertical="center"/>
    </xf>
    <xf numFmtId="0" fontId="34" fillId="2" borderId="0" xfId="6" applyFont="1" applyFill="1" applyAlignment="1">
      <alignment horizontal="left" vertical="center"/>
    </xf>
    <xf numFmtId="0" fontId="34" fillId="2" borderId="0" xfId="6" applyFont="1" applyFill="1" applyAlignment="1">
      <alignment horizontal="right" vertical="center"/>
    </xf>
    <xf numFmtId="10" fontId="34" fillId="2" borderId="1" xfId="6" applyNumberFormat="1" applyFont="1" applyFill="1" applyBorder="1" applyAlignment="1">
      <alignment horizontal="center" vertical="center"/>
    </xf>
    <xf numFmtId="0" fontId="2" fillId="9" borderId="0" xfId="5" applyFont="1" applyFill="1"/>
    <xf numFmtId="10" fontId="34" fillId="2" borderId="0" xfId="7" applyNumberFormat="1" applyFont="1" applyFill="1" applyBorder="1" applyAlignment="1">
      <alignment horizontal="left"/>
    </xf>
    <xf numFmtId="0" fontId="2" fillId="9" borderId="0" xfId="5" applyFont="1" applyFill="1" applyAlignment="1">
      <alignment vertical="top"/>
    </xf>
    <xf numFmtId="0" fontId="34" fillId="2" borderId="0" xfId="6" applyFont="1" applyFill="1" applyAlignment="1">
      <alignment horizontal="center" vertical="center" wrapText="1"/>
    </xf>
    <xf numFmtId="14" fontId="34" fillId="2" borderId="0" xfId="6" applyNumberFormat="1" applyFont="1" applyFill="1" applyAlignment="1">
      <alignment horizontal="left" vertical="center"/>
    </xf>
    <xf numFmtId="171" fontId="34" fillId="2" borderId="1" xfId="6" applyNumberFormat="1" applyFont="1" applyFill="1" applyBorder="1" applyAlignment="1">
      <alignment horizontal="left" vertical="center"/>
    </xf>
    <xf numFmtId="0" fontId="2" fillId="9" borderId="0" xfId="5" applyFont="1" applyFill="1" applyAlignment="1">
      <alignment horizontal="left" vertical="top"/>
    </xf>
    <xf numFmtId="0" fontId="6" fillId="9" borderId="0" xfId="5" applyFont="1" applyFill="1"/>
    <xf numFmtId="0" fontId="6" fillId="9" borderId="0" xfId="5" applyFont="1" applyFill="1" applyAlignment="1">
      <alignment horizontal="left" vertical="top"/>
    </xf>
    <xf numFmtId="0" fontId="2" fillId="9" borderId="0" xfId="5" applyFont="1" applyFill="1" applyAlignment="1">
      <alignment horizontal="left" vertical="center"/>
    </xf>
    <xf numFmtId="0" fontId="8" fillId="9" borderId="0" xfId="5" applyFont="1" applyFill="1"/>
    <xf numFmtId="0" fontId="6" fillId="10" borderId="0" xfId="5" applyFont="1" applyFill="1"/>
    <xf numFmtId="0" fontId="6" fillId="0" borderId="24" xfId="8" applyFont="1" applyBorder="1" applyAlignment="1">
      <alignment horizontal="left" vertical="center"/>
    </xf>
    <xf numFmtId="49" fontId="6" fillId="0" borderId="17" xfId="8" applyNumberFormat="1" applyFont="1" applyBorder="1" applyAlignment="1">
      <alignment horizontal="center" vertical="center"/>
    </xf>
    <xf numFmtId="49" fontId="6" fillId="0" borderId="17" xfId="8" applyNumberFormat="1" applyFont="1" applyBorder="1" applyAlignment="1">
      <alignment horizontal="right" vertical="center"/>
    </xf>
    <xf numFmtId="0" fontId="6" fillId="0" borderId="17" xfId="6" applyFont="1" applyBorder="1" applyAlignment="1">
      <alignment vertical="center"/>
    </xf>
    <xf numFmtId="0" fontId="6" fillId="0" borderId="18" xfId="6" applyFont="1" applyBorder="1" applyAlignment="1">
      <alignment vertical="center"/>
    </xf>
    <xf numFmtId="3" fontId="6" fillId="0" borderId="25" xfId="6" applyNumberFormat="1" applyFont="1" applyBorder="1" applyAlignment="1">
      <alignment vertical="center"/>
    </xf>
    <xf numFmtId="0" fontId="6" fillId="0" borderId="0" xfId="6" applyFont="1" applyAlignment="1">
      <alignment vertical="center"/>
    </xf>
    <xf numFmtId="49" fontId="6" fillId="0" borderId="0" xfId="8" applyNumberFormat="1" applyFont="1" applyAlignment="1">
      <alignment horizontal="right" vertical="center"/>
    </xf>
    <xf numFmtId="0" fontId="9" fillId="0" borderId="20" xfId="9" applyFont="1" applyBorder="1"/>
    <xf numFmtId="0" fontId="6" fillId="0" borderId="20" xfId="9" applyFont="1" applyBorder="1"/>
    <xf numFmtId="0" fontId="6" fillId="0" borderId="25" xfId="6" applyFont="1" applyBorder="1" applyAlignment="1">
      <alignment vertical="center"/>
    </xf>
    <xf numFmtId="49" fontId="6" fillId="0" borderId="0" xfId="8" applyNumberFormat="1" applyFont="1" applyAlignment="1">
      <alignment horizontal="center" vertical="center"/>
    </xf>
    <xf numFmtId="0" fontId="8" fillId="0" borderId="20" xfId="9" applyFont="1" applyBorder="1"/>
    <xf numFmtId="49" fontId="6" fillId="0" borderId="0" xfId="8" applyNumberFormat="1" applyFont="1" applyAlignment="1">
      <alignment vertical="top"/>
    </xf>
    <xf numFmtId="0" fontId="2" fillId="9" borderId="0" xfId="5" applyFont="1" applyFill="1" applyAlignment="1">
      <alignment horizontal="left" vertical="top" wrapText="1"/>
    </xf>
    <xf numFmtId="49" fontId="6" fillId="0" borderId="25" xfId="8" applyNumberFormat="1" applyFont="1" applyBorder="1" applyAlignment="1">
      <alignment horizontal="left" vertical="top"/>
    </xf>
    <xf numFmtId="0" fontId="6" fillId="0" borderId="20" xfId="6" applyFont="1" applyBorder="1" applyAlignment="1">
      <alignment vertical="center"/>
    </xf>
    <xf numFmtId="0" fontId="9" fillId="0" borderId="25" xfId="8" applyFont="1" applyBorder="1" applyAlignment="1">
      <alignment horizontal="left" vertical="center"/>
    </xf>
    <xf numFmtId="0" fontId="9" fillId="0" borderId="0" xfId="8" applyFont="1" applyAlignment="1">
      <alignment horizontal="left" vertical="center"/>
    </xf>
    <xf numFmtId="49" fontId="9" fillId="0" borderId="0" xfId="8" applyNumberFormat="1" applyFont="1" applyAlignment="1">
      <alignment horizontal="left" vertical="center"/>
    </xf>
    <xf numFmtId="3" fontId="6" fillId="0" borderId="25" xfId="6" applyNumberFormat="1" applyFont="1" applyBorder="1" applyAlignment="1">
      <alignment horizontal="center" vertical="center"/>
    </xf>
    <xf numFmtId="3" fontId="6" fillId="0" borderId="0" xfId="6" applyNumberFormat="1" applyFont="1" applyAlignment="1">
      <alignment horizontal="center" vertical="center"/>
    </xf>
    <xf numFmtId="0" fontId="6" fillId="0" borderId="20" xfId="6" applyFont="1" applyBorder="1" applyAlignment="1">
      <alignment horizontal="left" vertical="center"/>
    </xf>
    <xf numFmtId="14" fontId="9" fillId="0" borderId="25" xfId="6" applyNumberFormat="1" applyFont="1" applyBorder="1" applyAlignment="1">
      <alignment horizontal="center" vertical="center"/>
    </xf>
    <xf numFmtId="14" fontId="9" fillId="0" borderId="0" xfId="6" applyNumberFormat="1" applyFont="1" applyAlignment="1">
      <alignment horizontal="center" vertical="center"/>
    </xf>
    <xf numFmtId="0" fontId="6" fillId="0" borderId="25" xfId="8" applyFont="1" applyBorder="1" applyAlignment="1">
      <alignment horizontal="left" vertical="center"/>
    </xf>
    <xf numFmtId="0" fontId="1" fillId="0" borderId="0" xfId="5" applyFont="1"/>
    <xf numFmtId="0" fontId="6" fillId="0" borderId="26" xfId="8" applyFont="1" applyBorder="1"/>
    <xf numFmtId="0" fontId="9" fillId="0" borderId="22" xfId="6" applyFont="1" applyBorder="1" applyAlignment="1">
      <alignment horizontal="center" vertical="center" wrapText="1"/>
    </xf>
    <xf numFmtId="0" fontId="9" fillId="0" borderId="23" xfId="6" applyFont="1" applyBorder="1" applyAlignment="1">
      <alignment vertical="center"/>
    </xf>
    <xf numFmtId="0" fontId="3" fillId="9" borderId="0" xfId="5" applyFont="1" applyFill="1" applyAlignment="1">
      <alignment horizontal="left" vertical="center"/>
    </xf>
    <xf numFmtId="0" fontId="3" fillId="10" borderId="0" xfId="5" applyFont="1" applyFill="1"/>
    <xf numFmtId="0" fontId="3" fillId="2" borderId="0" xfId="5" applyFont="1" applyFill="1"/>
  </cellXfs>
  <cellStyles count="10">
    <cellStyle name="Comma" xfId="2" builtinId="3"/>
    <cellStyle name="Comma 2" xfId="4" xr:uid="{D724565F-5175-4075-8F85-F687CC642EC8}"/>
    <cellStyle name="Currency" xfId="3" builtinId="4"/>
    <cellStyle name="Normal" xfId="0" builtinId="0"/>
    <cellStyle name="Normal 10 2 2 3 3 2 2 4 4" xfId="9" xr:uid="{769B74E3-FC08-4251-AA12-9FAD81243EEB}"/>
    <cellStyle name="Normal 2" xfId="5" xr:uid="{ACE46FA8-A138-41E0-BBAF-8CD426C637DA}"/>
    <cellStyle name="Normal 6 2 2 2" xfId="6" xr:uid="{215FE3B4-4AA7-45FF-9A4D-F68078D7C69C}"/>
    <cellStyle name="Normal_Data SIC" xfId="8" xr:uid="{8BAE7715-964F-445A-B65E-98C387FC0310}"/>
    <cellStyle name="Percent" xfId="1" builtinId="5"/>
    <cellStyle name="Percent 4 3 2 5" xfId="7" xr:uid="{1562A21E-0969-4810-ADDB-E2698EC35D5C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59"/>
  <sheetViews>
    <sheetView zoomScale="75" zoomScaleNormal="75" workbookViewId="0"/>
  </sheetViews>
  <sheetFormatPr defaultColWidth="8.77734375" defaultRowHeight="15.6" x14ac:dyDescent="0.3"/>
  <cols>
    <col min="1" max="1" width="3.5546875" style="3" customWidth="1"/>
    <col min="2" max="2" width="4.88671875" style="3" customWidth="1"/>
    <col min="3" max="3" width="13.5546875" style="3" customWidth="1"/>
    <col min="4" max="4" width="18.44140625" style="3" customWidth="1"/>
    <col min="5" max="6" width="12.77734375" style="3" customWidth="1"/>
    <col min="7" max="7" width="23.77734375" style="3" customWidth="1"/>
    <col min="8" max="8" width="20.109375" style="3" customWidth="1"/>
    <col min="9" max="9" width="8.77734375" style="3"/>
    <col min="10" max="10" width="2.5546875" style="3" customWidth="1"/>
    <col min="11" max="11" width="8.77734375" style="1"/>
    <col min="12" max="12" width="30" style="1" customWidth="1"/>
    <col min="13" max="13" width="25.77734375" style="1" customWidth="1"/>
    <col min="14" max="14" width="17.88671875" style="1" customWidth="1"/>
    <col min="15" max="15" width="28.5546875" style="1" customWidth="1"/>
    <col min="16" max="16" width="27.21875" style="1" customWidth="1"/>
    <col min="17" max="17" width="22.77734375" style="1" customWidth="1"/>
    <col min="18" max="16384" width="8.77734375" style="1"/>
  </cols>
  <sheetData>
    <row r="1" spans="1:17" x14ac:dyDescent="0.3">
      <c r="A1" s="23" t="s">
        <v>83</v>
      </c>
      <c r="B1" s="2"/>
    </row>
    <row r="2" spans="1:17" x14ac:dyDescent="0.3">
      <c r="A2" s="23" t="s">
        <v>84</v>
      </c>
      <c r="B2" s="2"/>
    </row>
    <row r="3" spans="1:17" ht="18.45" customHeight="1" x14ac:dyDescent="0.3">
      <c r="A3" s="4"/>
      <c r="K3" s="1" t="s">
        <v>48</v>
      </c>
    </row>
    <row r="4" spans="1:17" x14ac:dyDescent="0.3">
      <c r="A4" s="2"/>
      <c r="B4" s="22" t="s">
        <v>13</v>
      </c>
    </row>
    <row r="6" spans="1:17" x14ac:dyDescent="0.3">
      <c r="B6" s="60" t="s">
        <v>14</v>
      </c>
      <c r="C6" s="60"/>
      <c r="D6" s="60"/>
      <c r="E6" s="60"/>
      <c r="F6" s="60"/>
      <c r="G6" s="60"/>
      <c r="H6" s="60"/>
      <c r="I6" s="60"/>
      <c r="L6" s="24" t="s">
        <v>33</v>
      </c>
      <c r="M6" s="25">
        <f>DATE(2024,12,31)</f>
        <v>45657</v>
      </c>
      <c r="P6" s="26"/>
      <c r="Q6" s="26"/>
    </row>
    <row r="7" spans="1:17" x14ac:dyDescent="0.3">
      <c r="B7" s="60"/>
      <c r="C7" s="60"/>
      <c r="D7" s="60"/>
      <c r="E7" s="60"/>
      <c r="F7" s="60"/>
      <c r="G7" s="60"/>
      <c r="H7" s="60"/>
      <c r="I7" s="60"/>
    </row>
    <row r="8" spans="1:17" x14ac:dyDescent="0.3">
      <c r="B8" s="5"/>
      <c r="C8" s="5"/>
      <c r="D8" s="5"/>
      <c r="E8" s="5"/>
      <c r="F8" s="5"/>
      <c r="G8" s="5"/>
      <c r="H8" s="5"/>
      <c r="I8" s="5"/>
    </row>
    <row r="9" spans="1:17" ht="16.2" x14ac:dyDescent="0.3">
      <c r="B9" s="5" t="s">
        <v>3</v>
      </c>
      <c r="C9" s="5"/>
      <c r="D9" s="5"/>
      <c r="E9" s="5"/>
      <c r="F9" s="5"/>
      <c r="G9" s="5"/>
      <c r="H9" s="5"/>
      <c r="I9" s="5"/>
      <c r="L9" s="57" t="s">
        <v>34</v>
      </c>
      <c r="M9" s="57"/>
      <c r="N9" s="37"/>
      <c r="O9" s="57" t="s">
        <v>35</v>
      </c>
      <c r="P9" s="57"/>
      <c r="Q9" s="27"/>
    </row>
    <row r="10" spans="1:17" x14ac:dyDescent="0.3">
      <c r="B10" s="5"/>
      <c r="C10" s="5"/>
      <c r="D10" s="5"/>
      <c r="E10" s="5"/>
      <c r="F10" s="5"/>
      <c r="G10" s="5"/>
      <c r="H10" s="5"/>
      <c r="I10" s="5"/>
    </row>
    <row r="11" spans="1:17" x14ac:dyDescent="0.3">
      <c r="B11" s="14" t="s">
        <v>15</v>
      </c>
      <c r="C11" s="5"/>
      <c r="D11" s="5"/>
      <c r="E11" s="5"/>
      <c r="F11" s="5"/>
      <c r="G11" s="5"/>
      <c r="H11" s="5"/>
      <c r="I11" s="5"/>
      <c r="L11" s="24" t="s">
        <v>49</v>
      </c>
      <c r="M11" s="35">
        <f>+H13</f>
        <v>70314556</v>
      </c>
      <c r="O11" s="24" t="s">
        <v>53</v>
      </c>
      <c r="P11" s="29">
        <f>H24</f>
        <v>61848159</v>
      </c>
      <c r="Q11" s="29"/>
    </row>
    <row r="12" spans="1:17" ht="16.05" customHeight="1" x14ac:dyDescent="0.3">
      <c r="L12" s="24" t="s">
        <v>51</v>
      </c>
      <c r="M12" s="29">
        <f>-H14</f>
        <v>-76890000</v>
      </c>
      <c r="O12" s="24" t="s">
        <v>36</v>
      </c>
      <c r="P12" s="35">
        <f>-H31</f>
        <v>-400000</v>
      </c>
      <c r="Q12" s="29"/>
    </row>
    <row r="13" spans="1:17" ht="91.05" customHeight="1" thickBot="1" x14ac:dyDescent="0.35">
      <c r="B13" s="59" t="s">
        <v>16</v>
      </c>
      <c r="C13" s="59"/>
      <c r="D13" s="59"/>
      <c r="E13" s="59"/>
      <c r="F13" s="59"/>
      <c r="G13" s="59"/>
      <c r="H13" s="6">
        <v>70314556</v>
      </c>
      <c r="L13" s="24" t="s">
        <v>38</v>
      </c>
      <c r="M13" s="35">
        <f>-H20*(H14-H16)</f>
        <v>-2951200</v>
      </c>
      <c r="O13" s="24" t="s">
        <v>55</v>
      </c>
      <c r="P13" s="36">
        <f>+P11+P12</f>
        <v>61448159</v>
      </c>
      <c r="Q13" s="29"/>
    </row>
    <row r="14" spans="1:17" ht="45.45" customHeight="1" thickTop="1" thickBot="1" x14ac:dyDescent="0.35">
      <c r="B14" s="59" t="s">
        <v>17</v>
      </c>
      <c r="C14" s="61"/>
      <c r="D14" s="61"/>
      <c r="E14" s="61"/>
      <c r="F14" s="61"/>
      <c r="G14" s="61"/>
      <c r="H14" s="58">
        <v>76890000</v>
      </c>
      <c r="L14" s="24" t="s">
        <v>50</v>
      </c>
      <c r="M14" s="36">
        <f>+M12+M13</f>
        <v>-79841200</v>
      </c>
      <c r="O14" s="24" t="s">
        <v>37</v>
      </c>
      <c r="P14" s="29">
        <f>-H25</f>
        <v>-87300000</v>
      </c>
      <c r="Q14" s="29"/>
    </row>
    <row r="15" spans="1:17" ht="15.45" customHeight="1" thickTop="1" x14ac:dyDescent="0.3">
      <c r="B15" s="61"/>
      <c r="C15" s="61"/>
      <c r="D15" s="61"/>
      <c r="E15" s="61"/>
      <c r="F15" s="61"/>
      <c r="G15" s="61"/>
      <c r="H15" s="58"/>
      <c r="L15" s="38" t="s">
        <v>52</v>
      </c>
      <c r="M15" s="48">
        <f>+M11+M14</f>
        <v>-9526644</v>
      </c>
      <c r="O15" s="38" t="s">
        <v>70</v>
      </c>
      <c r="P15" s="48">
        <f>+P13+P14</f>
        <v>-25851841</v>
      </c>
    </row>
    <row r="16" spans="1:17" x14ac:dyDescent="0.3">
      <c r="B16" s="61" t="s">
        <v>4</v>
      </c>
      <c r="C16" s="61"/>
      <c r="D16" s="61"/>
      <c r="E16" s="61"/>
      <c r="F16" s="61"/>
      <c r="G16" s="61"/>
      <c r="H16" s="6">
        <v>40000000</v>
      </c>
    </row>
    <row r="17" spans="2:17" x14ac:dyDescent="0.3">
      <c r="B17" s="59" t="s">
        <v>5</v>
      </c>
      <c r="C17" s="59"/>
      <c r="D17" s="59"/>
      <c r="E17" s="59"/>
      <c r="F17" s="59"/>
      <c r="G17" s="59"/>
      <c r="H17" s="6">
        <v>0</v>
      </c>
      <c r="P17" s="56"/>
    </row>
    <row r="18" spans="2:17" x14ac:dyDescent="0.3">
      <c r="B18" s="59" t="s">
        <v>6</v>
      </c>
      <c r="C18" s="59"/>
      <c r="D18" s="59"/>
      <c r="E18" s="59"/>
      <c r="F18" s="59"/>
      <c r="G18" s="59"/>
      <c r="H18" s="6">
        <v>100000</v>
      </c>
      <c r="L18" s="44" t="s">
        <v>59</v>
      </c>
    </row>
    <row r="19" spans="2:17" x14ac:dyDescent="0.3">
      <c r="B19" s="59" t="s">
        <v>7</v>
      </c>
      <c r="C19" s="59"/>
      <c r="D19" s="59"/>
      <c r="E19" s="59"/>
      <c r="F19" s="59"/>
      <c r="G19" s="59"/>
      <c r="H19" s="7">
        <v>0.05</v>
      </c>
      <c r="L19" s="1" t="s">
        <v>60</v>
      </c>
      <c r="M19" s="39">
        <f>+H19</f>
        <v>0.05</v>
      </c>
      <c r="N19" s="39">
        <f>(1+M19)^(1/12)-1</f>
        <v>4.0741237836483535E-3</v>
      </c>
    </row>
    <row r="20" spans="2:17" x14ac:dyDescent="0.3">
      <c r="B20" s="59" t="s">
        <v>18</v>
      </c>
      <c r="C20" s="59"/>
      <c r="D20" s="59"/>
      <c r="E20" s="59"/>
      <c r="F20" s="59"/>
      <c r="G20" s="59"/>
      <c r="H20" s="7">
        <v>0.08</v>
      </c>
    </row>
    <row r="21" spans="2:17" x14ac:dyDescent="0.3">
      <c r="B21" s="60"/>
      <c r="C21" s="60"/>
      <c r="D21" s="60"/>
      <c r="E21" s="60"/>
      <c r="F21" s="60"/>
      <c r="G21" s="60"/>
      <c r="H21" s="11"/>
    </row>
    <row r="22" spans="2:17" x14ac:dyDescent="0.3">
      <c r="B22" s="62" t="s">
        <v>19</v>
      </c>
      <c r="C22" s="62"/>
      <c r="D22" s="62"/>
      <c r="E22" s="62"/>
      <c r="F22" s="62"/>
      <c r="G22" s="62"/>
      <c r="H22" s="9"/>
      <c r="L22" s="1" t="s">
        <v>56</v>
      </c>
      <c r="M22" s="41" t="s">
        <v>69</v>
      </c>
      <c r="N22" s="41" t="s">
        <v>62</v>
      </c>
      <c r="O22" s="49" t="s">
        <v>76</v>
      </c>
      <c r="P22" s="45" t="s">
        <v>71</v>
      </c>
    </row>
    <row r="23" spans="2:17" x14ac:dyDescent="0.3">
      <c r="B23" s="15"/>
      <c r="C23" s="15"/>
      <c r="D23" s="15"/>
      <c r="E23" s="15"/>
      <c r="F23" s="15"/>
      <c r="G23" s="15"/>
      <c r="H23" s="9"/>
      <c r="L23" s="1" t="s">
        <v>74</v>
      </c>
      <c r="M23" s="42">
        <f>ROUND(PV($N$19,N23,-O23),0)</f>
        <v>487007</v>
      </c>
      <c r="N23" s="1">
        <v>12</v>
      </c>
      <c r="O23" s="42">
        <f>+D36/12</f>
        <v>41666.666666666664</v>
      </c>
      <c r="P23" s="42">
        <f>+O23*12</f>
        <v>500000</v>
      </c>
      <c r="Q23" s="1" t="s">
        <v>75</v>
      </c>
    </row>
    <row r="24" spans="2:17" ht="58.5" customHeight="1" x14ac:dyDescent="0.3">
      <c r="B24" s="59" t="s">
        <v>20</v>
      </c>
      <c r="C24" s="59"/>
      <c r="D24" s="59"/>
      <c r="E24" s="59"/>
      <c r="F24" s="59"/>
      <c r="G24" s="59"/>
      <c r="H24" s="6">
        <v>61848159</v>
      </c>
      <c r="L24" s="37" t="s">
        <v>61</v>
      </c>
      <c r="M24" s="55">
        <f>-M15-M23</f>
        <v>9039637</v>
      </c>
      <c r="N24" s="37">
        <v>120</v>
      </c>
      <c r="O24" s="52">
        <f>ROUND(PMT($N$19,N24,-M24*(1+$N$19)^12),0)</f>
        <v>100159</v>
      </c>
      <c r="P24" s="52">
        <f>+O24*12</f>
        <v>1201908</v>
      </c>
      <c r="Q24" s="1" t="s">
        <v>77</v>
      </c>
    </row>
    <row r="25" spans="2:17" ht="14.55" customHeight="1" x14ac:dyDescent="0.3">
      <c r="B25" s="59" t="s">
        <v>21</v>
      </c>
      <c r="C25" s="59"/>
      <c r="D25" s="59"/>
      <c r="E25" s="59"/>
      <c r="F25" s="59"/>
      <c r="G25" s="59"/>
      <c r="H25" s="58">
        <v>87300000</v>
      </c>
      <c r="L25" s="53"/>
      <c r="M25" s="54"/>
      <c r="O25" s="42"/>
      <c r="P25" s="42"/>
    </row>
    <row r="26" spans="2:17" ht="21.45" customHeight="1" x14ac:dyDescent="0.3">
      <c r="B26" s="59"/>
      <c r="C26" s="59"/>
      <c r="D26" s="59"/>
      <c r="E26" s="59"/>
      <c r="F26" s="59"/>
      <c r="G26" s="59"/>
      <c r="H26" s="58"/>
    </row>
    <row r="27" spans="2:17" x14ac:dyDescent="0.3">
      <c r="B27" s="59" t="s">
        <v>8</v>
      </c>
      <c r="C27" s="59"/>
      <c r="D27" s="59"/>
      <c r="E27" s="59"/>
      <c r="F27" s="59"/>
      <c r="G27" s="59"/>
      <c r="H27" s="58">
        <v>45000000</v>
      </c>
      <c r="L27" s="44" t="s">
        <v>65</v>
      </c>
    </row>
    <row r="28" spans="2:17" x14ac:dyDescent="0.3">
      <c r="B28" s="59"/>
      <c r="C28" s="59"/>
      <c r="D28" s="59"/>
      <c r="E28" s="59"/>
      <c r="F28" s="59"/>
      <c r="G28" s="59"/>
      <c r="H28" s="58"/>
      <c r="L28" s="1" t="s">
        <v>60</v>
      </c>
      <c r="M28" s="39">
        <f>+H29</f>
        <v>2.5000000000000001E-2</v>
      </c>
      <c r="N28" s="39">
        <f>(1+M28)^(1/12)-1</f>
        <v>2.0598362698427408E-3</v>
      </c>
    </row>
    <row r="29" spans="2:17" ht="15.45" customHeight="1" x14ac:dyDescent="0.3">
      <c r="B29" s="59" t="s">
        <v>22</v>
      </c>
      <c r="C29" s="59"/>
      <c r="D29" s="59"/>
      <c r="E29" s="59"/>
      <c r="F29" s="59"/>
      <c r="G29" s="59"/>
      <c r="H29" s="33">
        <v>2.5000000000000001E-2</v>
      </c>
    </row>
    <row r="30" spans="2:17" ht="16.05" customHeight="1" x14ac:dyDescent="0.3">
      <c r="B30" s="59"/>
      <c r="C30" s="59"/>
      <c r="D30" s="59"/>
      <c r="E30" s="59"/>
      <c r="F30" s="59"/>
      <c r="G30" s="59"/>
      <c r="H30" s="34"/>
      <c r="L30" s="37" t="s">
        <v>54</v>
      </c>
    </row>
    <row r="31" spans="2:17" x14ac:dyDescent="0.3">
      <c r="B31" s="59" t="s">
        <v>9</v>
      </c>
      <c r="C31" s="59"/>
      <c r="D31" s="59"/>
      <c r="E31" s="59"/>
      <c r="F31" s="59"/>
      <c r="G31" s="59"/>
      <c r="H31" s="8">
        <v>400000</v>
      </c>
      <c r="L31" s="1" t="s">
        <v>66</v>
      </c>
      <c r="M31" s="30" t="s">
        <v>57</v>
      </c>
      <c r="N31" s="30" t="s">
        <v>58</v>
      </c>
      <c r="O31" s="30" t="s">
        <v>63</v>
      </c>
    </row>
    <row r="32" spans="2:17" x14ac:dyDescent="0.3">
      <c r="B32" s="10"/>
      <c r="C32" s="10"/>
      <c r="D32" s="10"/>
      <c r="E32" s="10"/>
      <c r="F32" s="10"/>
      <c r="G32" s="10"/>
      <c r="H32" s="12"/>
      <c r="L32" s="1" t="str">
        <f>+L23</f>
        <v>12.31.2024</v>
      </c>
      <c r="M32" s="42">
        <f>+O23</f>
        <v>41666.666666666664</v>
      </c>
      <c r="N32" s="1">
        <v>12</v>
      </c>
      <c r="O32" s="42">
        <f>ROUND(PV($N$28,N32,-M32),0)</f>
        <v>493369</v>
      </c>
    </row>
    <row r="33" spans="1:17" ht="31.05" customHeight="1" x14ac:dyDescent="0.3">
      <c r="B33" s="70" t="s">
        <v>29</v>
      </c>
      <c r="C33" s="70"/>
      <c r="D33" s="70"/>
      <c r="E33" s="70"/>
      <c r="F33" s="70"/>
      <c r="G33" s="70"/>
      <c r="H33" s="12"/>
      <c r="L33" s="37" t="str">
        <f>+L24</f>
        <v>12.31.2025</v>
      </c>
      <c r="M33" s="43">
        <f>+O24</f>
        <v>100159</v>
      </c>
      <c r="N33" s="30">
        <v>60</v>
      </c>
      <c r="O33" s="43">
        <f>ROUND(PV($N$28,N33,-M33)/(1+M28),0)</f>
        <v>5509810</v>
      </c>
    </row>
    <row r="34" spans="1:17" x14ac:dyDescent="0.3">
      <c r="B34" s="60" t="s">
        <v>23</v>
      </c>
      <c r="C34" s="60"/>
      <c r="D34" s="60"/>
      <c r="E34" s="60"/>
      <c r="F34" s="60"/>
      <c r="G34" s="60"/>
      <c r="H34" s="12"/>
      <c r="O34" s="42">
        <f>+O32+O33</f>
        <v>6003179</v>
      </c>
      <c r="P34" s="1" t="s">
        <v>67</v>
      </c>
    </row>
    <row r="35" spans="1:17" x14ac:dyDescent="0.3">
      <c r="B35" s="17"/>
      <c r="C35" s="18"/>
      <c r="D35" s="16" t="s">
        <v>24</v>
      </c>
      <c r="E35" s="71" t="s">
        <v>25</v>
      </c>
      <c r="F35" s="71"/>
      <c r="G35" s="10"/>
      <c r="H35" s="12"/>
      <c r="O35" s="43">
        <f>+M44</f>
        <v>998997</v>
      </c>
      <c r="P35" s="1" t="s">
        <v>68</v>
      </c>
    </row>
    <row r="36" spans="1:17" ht="16.2" thickBot="1" x14ac:dyDescent="0.35">
      <c r="B36" s="59" t="s">
        <v>26</v>
      </c>
      <c r="C36" s="59"/>
      <c r="D36" s="19">
        <v>500000</v>
      </c>
      <c r="E36" s="72" t="s">
        <v>30</v>
      </c>
      <c r="F36" s="73"/>
      <c r="G36" s="10"/>
      <c r="H36" s="12"/>
      <c r="N36" s="38" t="s">
        <v>79</v>
      </c>
      <c r="O36" s="50">
        <f>+O34+O35</f>
        <v>7002176</v>
      </c>
    </row>
    <row r="37" spans="1:17" ht="19.5" customHeight="1" thickTop="1" x14ac:dyDescent="0.3">
      <c r="B37" s="74" t="s">
        <v>27</v>
      </c>
      <c r="C37" s="75"/>
      <c r="D37" s="19">
        <v>345841</v>
      </c>
      <c r="E37" s="72" t="s">
        <v>28</v>
      </c>
      <c r="F37" s="73"/>
      <c r="G37" s="10"/>
      <c r="H37" s="12"/>
    </row>
    <row r="38" spans="1:17" x14ac:dyDescent="0.3">
      <c r="B38" s="10"/>
      <c r="C38" s="10"/>
      <c r="D38" s="10"/>
      <c r="E38" s="10"/>
      <c r="F38" s="10"/>
      <c r="G38" s="10"/>
      <c r="H38" s="12"/>
      <c r="L38" s="1" t="s">
        <v>72</v>
      </c>
      <c r="M38" s="29">
        <f>-+P14*85%</f>
        <v>74205000</v>
      </c>
    </row>
    <row r="39" spans="1:17" x14ac:dyDescent="0.3">
      <c r="B39" s="60" t="s">
        <v>10</v>
      </c>
      <c r="C39" s="60"/>
      <c r="D39" s="60"/>
      <c r="E39" s="60"/>
      <c r="F39" s="60"/>
      <c r="G39" s="60"/>
      <c r="L39" s="37" t="s">
        <v>73</v>
      </c>
      <c r="M39" s="48">
        <f>+P13-M38</f>
        <v>-12756841</v>
      </c>
    </row>
    <row r="42" spans="1:17" s="21" customFormat="1" x14ac:dyDescent="0.3">
      <c r="A42" s="13"/>
      <c r="B42" s="13" t="s">
        <v>0</v>
      </c>
      <c r="C42" s="20" t="s">
        <v>31</v>
      </c>
      <c r="D42" s="13" t="s">
        <v>11</v>
      </c>
      <c r="E42" s="13"/>
      <c r="F42" s="13"/>
      <c r="G42" s="13"/>
      <c r="H42" s="13"/>
      <c r="I42" s="13"/>
      <c r="J42" s="13"/>
      <c r="L42" s="37" t="s">
        <v>78</v>
      </c>
      <c r="M42" s="1"/>
      <c r="N42" s="1"/>
      <c r="O42" s="1"/>
      <c r="P42" s="1"/>
      <c r="Q42" s="1"/>
    </row>
    <row r="43" spans="1:17" s="21" customFormat="1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  <c r="L43" s="1" t="s">
        <v>66</v>
      </c>
      <c r="M43" s="1" t="s">
        <v>63</v>
      </c>
      <c r="N43" s="1" t="s">
        <v>62</v>
      </c>
      <c r="O43" s="37" t="s">
        <v>57</v>
      </c>
      <c r="P43" s="37" t="s">
        <v>71</v>
      </c>
      <c r="Q43" s="1"/>
    </row>
    <row r="44" spans="1:17" s="21" customFormat="1" x14ac:dyDescent="0.3">
      <c r="A44" s="13"/>
      <c r="B44" s="13"/>
      <c r="C44" s="13"/>
      <c r="D44" s="63" t="s">
        <v>2</v>
      </c>
      <c r="E44" s="64"/>
      <c r="F44" s="64"/>
      <c r="G44" s="64"/>
      <c r="H44" s="64"/>
      <c r="I44" s="64"/>
      <c r="J44" s="65"/>
      <c r="L44" s="1" t="str">
        <f>+L32</f>
        <v>12.31.2024</v>
      </c>
      <c r="M44" s="42">
        <f>ROUND(PV(N28,N44,-O44),0)</f>
        <v>998997</v>
      </c>
      <c r="N44" s="1">
        <v>36</v>
      </c>
      <c r="O44" s="42">
        <f>+$D$37/12</f>
        <v>28820.083333333332</v>
      </c>
      <c r="P44" s="42">
        <f>+O44*12</f>
        <v>345841</v>
      </c>
      <c r="Q44" s="1"/>
    </row>
    <row r="45" spans="1:17" s="21" customFormat="1" x14ac:dyDescent="0.3">
      <c r="A45" s="13"/>
      <c r="B45" s="13"/>
      <c r="C45" s="13"/>
      <c r="D45" s="66"/>
      <c r="E45" s="67"/>
      <c r="F45" s="67"/>
      <c r="G45" s="67"/>
      <c r="H45" s="67"/>
      <c r="I45" s="67"/>
      <c r="J45" s="68"/>
      <c r="L45" s="37" t="str">
        <f>+L33</f>
        <v>12.31.2025</v>
      </c>
      <c r="M45" s="55">
        <f>+-M39-O36</f>
        <v>5754665</v>
      </c>
      <c r="N45" s="37">
        <v>60</v>
      </c>
      <c r="O45" s="51">
        <f>ROUND(PMT(N28,N45,-M45*(1+M28)),0)</f>
        <v>104610</v>
      </c>
      <c r="P45" s="51">
        <f>+O45*12</f>
        <v>1255320</v>
      </c>
      <c r="Q45" s="1" t="s">
        <v>64</v>
      </c>
    </row>
    <row r="46" spans="1:17" s="21" customFormat="1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L46" s="1"/>
      <c r="M46" s="40"/>
      <c r="N46" s="1"/>
      <c r="O46" s="42">
        <f>+O44+O45</f>
        <v>133430.08333333334</v>
      </c>
      <c r="P46" s="42">
        <f>+P44+P45</f>
        <v>1601161</v>
      </c>
      <c r="Q46" s="1"/>
    </row>
    <row r="47" spans="1:17" s="21" customFormat="1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7" s="21" customFormat="1" x14ac:dyDescent="0.3">
      <c r="A48" s="13"/>
      <c r="B48" s="13" t="s">
        <v>1</v>
      </c>
      <c r="C48" s="22" t="s">
        <v>32</v>
      </c>
      <c r="D48" s="69" t="s">
        <v>12</v>
      </c>
      <c r="E48" s="69"/>
      <c r="F48" s="69"/>
      <c r="G48" s="69"/>
      <c r="H48" s="69"/>
      <c r="I48" s="69"/>
      <c r="J48" s="13"/>
      <c r="L48" s="1"/>
    </row>
    <row r="49" spans="1:15" s="21" customFormat="1" x14ac:dyDescent="0.3">
      <c r="A49" s="13"/>
      <c r="B49" s="13"/>
      <c r="C49" s="22"/>
      <c r="D49" s="69"/>
      <c r="E49" s="69"/>
      <c r="F49" s="69"/>
      <c r="G49" s="69"/>
      <c r="H49" s="69"/>
      <c r="I49" s="69"/>
      <c r="J49" s="13"/>
      <c r="L49" s="1"/>
      <c r="M49" s="46" t="s">
        <v>39</v>
      </c>
      <c r="N49" s="46" t="s">
        <v>40</v>
      </c>
    </row>
    <row r="50" spans="1:15" s="21" customFormat="1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L50" s="37" t="s">
        <v>41</v>
      </c>
      <c r="M50" s="37">
        <v>2025</v>
      </c>
      <c r="N50" s="37">
        <v>2026</v>
      </c>
    </row>
    <row r="51" spans="1:15" s="21" customFormat="1" x14ac:dyDescent="0.3">
      <c r="A51" s="13"/>
      <c r="B51" s="13"/>
      <c r="C51" s="13"/>
      <c r="D51" s="63" t="s">
        <v>2</v>
      </c>
      <c r="E51" s="64"/>
      <c r="F51" s="64"/>
      <c r="G51" s="64"/>
      <c r="H51" s="64"/>
      <c r="I51" s="64"/>
      <c r="J51" s="65"/>
      <c r="L51" s="1" t="s">
        <v>81</v>
      </c>
      <c r="M51" s="28">
        <f>+H17</f>
        <v>0</v>
      </c>
      <c r="N51" s="28">
        <f>M51</f>
        <v>0</v>
      </c>
    </row>
    <row r="52" spans="1:15" s="21" customFormat="1" x14ac:dyDescent="0.3">
      <c r="A52" s="13"/>
      <c r="B52" s="13"/>
      <c r="C52" s="13"/>
      <c r="D52" s="66"/>
      <c r="E52" s="67"/>
      <c r="F52" s="67"/>
      <c r="G52" s="67"/>
      <c r="H52" s="67"/>
      <c r="I52" s="67"/>
      <c r="J52" s="68"/>
      <c r="L52" s="1" t="s">
        <v>42</v>
      </c>
      <c r="M52" s="28">
        <f>H18*(1+H20)</f>
        <v>108000</v>
      </c>
      <c r="N52" s="28">
        <f>M52</f>
        <v>108000</v>
      </c>
    </row>
    <row r="53" spans="1:15" s="21" customForma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L53" s="1" t="s">
        <v>43</v>
      </c>
      <c r="M53" s="28">
        <f>+D36</f>
        <v>500000</v>
      </c>
      <c r="N53" s="28">
        <v>0</v>
      </c>
      <c r="O53" s="21" t="s">
        <v>80</v>
      </c>
    </row>
    <row r="54" spans="1:15" s="21" customFormat="1" x14ac:dyDescent="0.3">
      <c r="A54" s="13"/>
      <c r="B54" s="13"/>
      <c r="C54" s="13"/>
      <c r="D54" s="13"/>
      <c r="E54" s="13"/>
      <c r="F54" s="13"/>
      <c r="G54" s="13"/>
      <c r="H54" s="13"/>
      <c r="I54" s="13"/>
      <c r="J54" s="13"/>
      <c r="L54" s="1" t="s">
        <v>44</v>
      </c>
      <c r="M54" s="28">
        <v>0</v>
      </c>
      <c r="N54" s="28">
        <f>+P24</f>
        <v>1201908</v>
      </c>
    </row>
    <row r="55" spans="1:15" x14ac:dyDescent="0.3">
      <c r="L55" s="1" t="s">
        <v>45</v>
      </c>
      <c r="M55" s="28">
        <f>+D37</f>
        <v>345841</v>
      </c>
      <c r="N55" s="28">
        <f>+D37</f>
        <v>345841</v>
      </c>
    </row>
    <row r="56" spans="1:15" x14ac:dyDescent="0.3">
      <c r="L56" s="30" t="s">
        <v>46</v>
      </c>
      <c r="M56" s="31">
        <v>0</v>
      </c>
      <c r="N56" s="32">
        <f>+P45</f>
        <v>1255320</v>
      </c>
    </row>
    <row r="57" spans="1:15" x14ac:dyDescent="0.3">
      <c r="L57" s="1" t="s">
        <v>47</v>
      </c>
      <c r="M57" s="47">
        <f>SUM(M51:M56)</f>
        <v>953841</v>
      </c>
      <c r="N57" s="47">
        <f>SUM(N51:N56)</f>
        <v>2911069</v>
      </c>
    </row>
    <row r="59" spans="1:15" x14ac:dyDescent="0.3">
      <c r="L59" s="37" t="s">
        <v>82</v>
      </c>
      <c r="M59" s="47">
        <f>M52+MAX(-M15,-P15)</f>
        <v>25959841</v>
      </c>
    </row>
  </sheetData>
  <mergeCells count="31">
    <mergeCell ref="D51:J52"/>
    <mergeCell ref="D44:J45"/>
    <mergeCell ref="B39:G39"/>
    <mergeCell ref="B31:G31"/>
    <mergeCell ref="D48:I49"/>
    <mergeCell ref="B33:G33"/>
    <mergeCell ref="B34:G34"/>
    <mergeCell ref="B36:C36"/>
    <mergeCell ref="E35:F35"/>
    <mergeCell ref="E36:F36"/>
    <mergeCell ref="E37:F37"/>
    <mergeCell ref="B37:C37"/>
    <mergeCell ref="B6:I7"/>
    <mergeCell ref="H14:H15"/>
    <mergeCell ref="H25:H26"/>
    <mergeCell ref="B13:G13"/>
    <mergeCell ref="B14:G15"/>
    <mergeCell ref="B22:G22"/>
    <mergeCell ref="B16:G16"/>
    <mergeCell ref="B17:G17"/>
    <mergeCell ref="B18:G18"/>
    <mergeCell ref="B19:G19"/>
    <mergeCell ref="B20:G20"/>
    <mergeCell ref="B21:G21"/>
    <mergeCell ref="B24:G24"/>
    <mergeCell ref="B25:G26"/>
    <mergeCell ref="L9:M9"/>
    <mergeCell ref="O9:P9"/>
    <mergeCell ref="H27:H28"/>
    <mergeCell ref="B27:G28"/>
    <mergeCell ref="B29:G3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39F65-3B57-46C4-B053-EE1CAD189ADC}">
  <dimension ref="A1:AB214"/>
  <sheetViews>
    <sheetView workbookViewId="0"/>
  </sheetViews>
  <sheetFormatPr defaultColWidth="8.88671875" defaultRowHeight="15.6" x14ac:dyDescent="0.3"/>
  <cols>
    <col min="1" max="1" width="3.5546875" style="13" customWidth="1"/>
    <col min="2" max="2" width="6.88671875" style="13" customWidth="1"/>
    <col min="3" max="3" width="16.5546875" style="13" customWidth="1"/>
    <col min="4" max="4" width="18.88671875" style="13" customWidth="1"/>
    <col min="5" max="6" width="21.109375" style="13" customWidth="1"/>
    <col min="7" max="8" width="12.88671875" style="13" customWidth="1"/>
    <col min="9" max="9" width="8.88671875" style="13"/>
    <col min="10" max="10" width="2.5546875" style="13" customWidth="1"/>
    <col min="11" max="11" width="20.44140625" style="21" customWidth="1"/>
    <col min="12" max="12" width="47.33203125" style="21" customWidth="1"/>
    <col min="13" max="13" width="40.33203125" style="21" customWidth="1"/>
    <col min="14" max="14" width="32.5546875" style="21" bestFit="1" customWidth="1"/>
    <col min="15" max="15" width="48.109375" style="21" customWidth="1"/>
    <col min="16" max="16" width="50.88671875" style="21" customWidth="1"/>
    <col min="17" max="17" width="8.88671875" style="21"/>
    <col min="18" max="18" width="5.44140625" style="76" customWidth="1"/>
    <col min="19" max="19" width="16.109375" style="21" customWidth="1"/>
    <col min="20" max="20" width="19.44140625" style="21" bestFit="1" customWidth="1"/>
    <col min="21" max="21" width="13.5546875" style="21" bestFit="1" customWidth="1"/>
    <col min="22" max="22" width="14.109375" style="21" bestFit="1" customWidth="1"/>
    <col min="23" max="23" width="8.88671875" style="21"/>
    <col min="24" max="24" width="11.5546875" style="21" bestFit="1" customWidth="1"/>
    <col min="25" max="25" width="19.44140625" style="21" bestFit="1" customWidth="1"/>
    <col min="26" max="16384" width="8.88671875" style="21"/>
  </cols>
  <sheetData>
    <row r="1" spans="1:28" x14ac:dyDescent="0.3">
      <c r="A1" s="23" t="s">
        <v>203</v>
      </c>
      <c r="B1" s="23"/>
      <c r="K1" s="21" t="s">
        <v>203</v>
      </c>
      <c r="S1" s="85" t="s">
        <v>202</v>
      </c>
    </row>
    <row r="2" spans="1:28" x14ac:dyDescent="0.3">
      <c r="A2" s="23" t="s">
        <v>201</v>
      </c>
      <c r="B2" s="23"/>
      <c r="K2" s="21" t="s">
        <v>201</v>
      </c>
      <c r="S2" s="21" t="s">
        <v>200</v>
      </c>
      <c r="T2" s="109">
        <v>0.04</v>
      </c>
    </row>
    <row r="3" spans="1:28" ht="18.45" customHeight="1" x14ac:dyDescent="0.3">
      <c r="A3" s="170"/>
      <c r="S3" s="21" t="s">
        <v>172</v>
      </c>
      <c r="T3" s="21" t="s">
        <v>199</v>
      </c>
      <c r="U3" s="21">
        <v>2025</v>
      </c>
      <c r="V3" s="21">
        <v>3</v>
      </c>
    </row>
    <row r="4" spans="1:28" ht="18.45" customHeight="1" x14ac:dyDescent="0.3">
      <c r="A4" s="23"/>
      <c r="K4" s="21" t="s">
        <v>48</v>
      </c>
      <c r="S4" s="21" t="s">
        <v>169</v>
      </c>
      <c r="T4" s="141">
        <v>0.5</v>
      </c>
    </row>
    <row r="5" spans="1:28" ht="15.6" customHeight="1" x14ac:dyDescent="0.35">
      <c r="A5" s="23"/>
      <c r="B5" s="169" t="s">
        <v>198</v>
      </c>
      <c r="C5" s="128" t="s">
        <v>197</v>
      </c>
      <c r="D5" s="128"/>
      <c r="E5" s="128"/>
      <c r="F5" s="128"/>
      <c r="G5" s="128"/>
      <c r="H5" s="128"/>
      <c r="S5" s="21" t="s">
        <v>168</v>
      </c>
      <c r="T5" s="140">
        <v>25173</v>
      </c>
      <c r="U5" s="21">
        <v>57</v>
      </c>
      <c r="X5" s="140">
        <v>24442</v>
      </c>
      <c r="Y5" s="21">
        <v>59</v>
      </c>
    </row>
    <row r="6" spans="1:28" x14ac:dyDescent="0.3">
      <c r="C6" s="128"/>
      <c r="D6" s="128"/>
      <c r="E6" s="128"/>
      <c r="F6" s="128"/>
      <c r="G6" s="128"/>
      <c r="H6" s="128"/>
      <c r="S6" s="21" t="s">
        <v>196</v>
      </c>
    </row>
    <row r="7" spans="1:28" x14ac:dyDescent="0.3">
      <c r="C7" s="126"/>
      <c r="D7" s="126"/>
      <c r="E7" s="126"/>
      <c r="F7" s="126"/>
      <c r="G7" s="126"/>
      <c r="H7" s="126"/>
    </row>
    <row r="8" spans="1:28" ht="15.6" customHeight="1" x14ac:dyDescent="0.3">
      <c r="C8" s="13" t="s">
        <v>195</v>
      </c>
    </row>
    <row r="9" spans="1:28" ht="15.6" customHeight="1" x14ac:dyDescent="0.3">
      <c r="S9" s="21" t="s">
        <v>165</v>
      </c>
      <c r="V9" s="21" t="s">
        <v>164</v>
      </c>
      <c r="X9" s="21" t="s">
        <v>165</v>
      </c>
      <c r="AA9" s="21" t="s">
        <v>164</v>
      </c>
    </row>
    <row r="10" spans="1:28" ht="15.6" customHeight="1" x14ac:dyDescent="0.3">
      <c r="C10" s="139" t="s">
        <v>194</v>
      </c>
      <c r="S10" s="21" t="s">
        <v>162</v>
      </c>
      <c r="T10" s="21" t="s">
        <v>161</v>
      </c>
      <c r="U10" s="21" t="s">
        <v>160</v>
      </c>
      <c r="V10" s="21" t="s">
        <v>159</v>
      </c>
      <c r="W10" s="21" t="s">
        <v>158</v>
      </c>
      <c r="X10" s="21" t="s">
        <v>162</v>
      </c>
      <c r="Y10" s="21" t="s">
        <v>161</v>
      </c>
      <c r="Z10" s="21" t="s">
        <v>160</v>
      </c>
      <c r="AA10" s="21" t="s">
        <v>159</v>
      </c>
    </row>
    <row r="11" spans="1:28" ht="15.6" customHeight="1" x14ac:dyDescent="0.3">
      <c r="C11" s="163" t="s">
        <v>193</v>
      </c>
      <c r="D11" s="162"/>
      <c r="E11" s="161" t="s">
        <v>192</v>
      </c>
      <c r="F11" s="160"/>
      <c r="G11" s="160"/>
      <c r="H11" s="159"/>
    </row>
    <row r="12" spans="1:28" ht="15.6" customHeight="1" x14ac:dyDescent="0.3">
      <c r="C12" s="168" t="s">
        <v>191</v>
      </c>
      <c r="D12" s="167"/>
      <c r="E12" s="166" t="s">
        <v>190</v>
      </c>
      <c r="F12" s="165"/>
      <c r="G12" s="165"/>
      <c r="H12" s="164"/>
      <c r="S12" s="21">
        <v>57</v>
      </c>
      <c r="T12" s="21">
        <v>57</v>
      </c>
      <c r="U12" s="21">
        <f>T12-S12</f>
        <v>0</v>
      </c>
      <c r="V12" s="21">
        <v>17.2012</v>
      </c>
      <c r="W12" s="21">
        <f>ROUND(V12,2)</f>
        <v>17.2</v>
      </c>
      <c r="X12" s="21">
        <v>59</v>
      </c>
      <c r="Y12" s="21">
        <v>59</v>
      </c>
      <c r="Z12" s="21">
        <f>Y12-X12</f>
        <v>0</v>
      </c>
      <c r="AA12" s="21">
        <v>16.611899999999999</v>
      </c>
      <c r="AB12" s="21">
        <f>ROUND(AA12,2)</f>
        <v>16.61</v>
      </c>
    </row>
    <row r="13" spans="1:28" ht="15.6" customHeight="1" x14ac:dyDescent="0.3">
      <c r="C13" s="163" t="s">
        <v>189</v>
      </c>
      <c r="D13" s="162"/>
      <c r="E13" s="161" t="s">
        <v>188</v>
      </c>
      <c r="F13" s="160"/>
      <c r="G13" s="160"/>
      <c r="H13" s="159"/>
    </row>
    <row r="14" spans="1:28" ht="15.6" customHeight="1" x14ac:dyDescent="0.3">
      <c r="C14" s="144" t="s">
        <v>187</v>
      </c>
      <c r="D14" s="144"/>
      <c r="E14" s="153" t="s">
        <v>186</v>
      </c>
      <c r="F14" s="153"/>
      <c r="G14" s="153"/>
      <c r="H14" s="153"/>
    </row>
    <row r="15" spans="1:28" ht="15.6" customHeight="1" x14ac:dyDescent="0.3">
      <c r="C15" s="144"/>
      <c r="D15" s="144"/>
      <c r="E15" s="153"/>
      <c r="F15" s="153"/>
      <c r="G15" s="153"/>
      <c r="H15" s="153"/>
    </row>
    <row r="16" spans="1:28" ht="15.6" customHeight="1" x14ac:dyDescent="0.3">
      <c r="C16" s="158" t="s">
        <v>185</v>
      </c>
      <c r="D16" s="158"/>
      <c r="E16" s="144" t="s">
        <v>184</v>
      </c>
      <c r="F16" s="144"/>
      <c r="G16" s="144"/>
      <c r="H16" s="144"/>
      <c r="S16" s="21">
        <v>57</v>
      </c>
      <c r="T16" s="21">
        <v>60</v>
      </c>
      <c r="U16" s="21">
        <f>T16-S16</f>
        <v>3</v>
      </c>
      <c r="V16" s="21">
        <v>14.547800000000001</v>
      </c>
      <c r="W16" s="21">
        <f>ROUND(V16,2)</f>
        <v>14.55</v>
      </c>
      <c r="X16" s="21">
        <v>59</v>
      </c>
      <c r="Y16" s="21">
        <v>62</v>
      </c>
      <c r="Z16" s="21">
        <f>Y16-X16</f>
        <v>3</v>
      </c>
      <c r="AA16" s="21">
        <v>13.985200000000001</v>
      </c>
      <c r="AB16" s="21">
        <f>ROUND(AA16,2)</f>
        <v>13.99</v>
      </c>
    </row>
    <row r="17" spans="3:28" ht="15.6" customHeight="1" x14ac:dyDescent="0.3">
      <c r="C17" s="157" t="s">
        <v>183</v>
      </c>
      <c r="D17" s="156"/>
      <c r="E17" s="153" t="s">
        <v>182</v>
      </c>
      <c r="F17" s="153"/>
      <c r="G17" s="153"/>
      <c r="H17" s="153"/>
    </row>
    <row r="18" spans="3:28" ht="15.6" customHeight="1" x14ac:dyDescent="0.3">
      <c r="C18" s="155"/>
      <c r="D18" s="154"/>
      <c r="E18" s="153"/>
      <c r="F18" s="153"/>
      <c r="G18" s="153"/>
      <c r="H18" s="153"/>
      <c r="S18" s="21">
        <v>57</v>
      </c>
      <c r="T18" s="21">
        <v>61</v>
      </c>
      <c r="U18" s="21">
        <f>T18-S18</f>
        <v>4</v>
      </c>
      <c r="V18" s="21">
        <v>13.7378</v>
      </c>
      <c r="W18" s="21">
        <f>ROUND(V18,2)</f>
        <v>13.74</v>
      </c>
      <c r="X18" s="21">
        <v>59</v>
      </c>
      <c r="Y18" s="21">
        <v>63</v>
      </c>
      <c r="Z18" s="21">
        <f>Y18-X18</f>
        <v>4</v>
      </c>
      <c r="AA18" s="21">
        <v>13.1828</v>
      </c>
      <c r="AB18" s="21">
        <f>ROUND(AA18,2)</f>
        <v>13.18</v>
      </c>
    </row>
    <row r="19" spans="3:28" ht="15.6" customHeight="1" x14ac:dyDescent="0.3">
      <c r="C19" s="153" t="s">
        <v>181</v>
      </c>
      <c r="D19" s="153"/>
      <c r="E19" s="153" t="s">
        <v>180</v>
      </c>
      <c r="F19" s="153"/>
      <c r="G19" s="153"/>
      <c r="H19" s="153"/>
    </row>
    <row r="20" spans="3:28" ht="15.6" customHeight="1" x14ac:dyDescent="0.3">
      <c r="C20" s="153"/>
      <c r="D20" s="153"/>
      <c r="E20" s="153"/>
      <c r="F20" s="153"/>
      <c r="G20" s="153"/>
      <c r="H20" s="153"/>
      <c r="N20" s="85"/>
    </row>
    <row r="21" spans="3:28" x14ac:dyDescent="0.3">
      <c r="C21" s="153"/>
      <c r="D21" s="153"/>
      <c r="E21" s="153"/>
      <c r="F21" s="153"/>
      <c r="G21" s="153"/>
      <c r="H21" s="153"/>
      <c r="N21" s="85"/>
    </row>
    <row r="22" spans="3:28" x14ac:dyDescent="0.3">
      <c r="C22" s="136"/>
      <c r="D22" s="136"/>
      <c r="E22" s="136"/>
      <c r="F22" s="136"/>
      <c r="G22" s="136"/>
      <c r="N22" s="85"/>
      <c r="S22" s="21">
        <v>57</v>
      </c>
      <c r="T22" s="21">
        <v>63</v>
      </c>
      <c r="U22" s="21">
        <f>T22-S22</f>
        <v>6</v>
      </c>
      <c r="V22" s="21">
        <v>12.2195</v>
      </c>
      <c r="W22" s="21">
        <f>ROUND(V22,2)</f>
        <v>12.22</v>
      </c>
      <c r="X22" s="21">
        <v>59</v>
      </c>
      <c r="Y22" s="21">
        <v>65</v>
      </c>
      <c r="Z22" s="21">
        <f>Y22-X22</f>
        <v>6</v>
      </c>
      <c r="AA22" s="21">
        <v>11.678000000000001</v>
      </c>
      <c r="AB22" s="21">
        <f>ROUND(AA22,2)</f>
        <v>11.68</v>
      </c>
    </row>
    <row r="23" spans="3:28" ht="18.600000000000001" customHeight="1" x14ac:dyDescent="0.3">
      <c r="C23" s="139" t="s">
        <v>179</v>
      </c>
      <c r="D23" s="136"/>
      <c r="E23" s="136"/>
      <c r="F23" s="136"/>
      <c r="G23" s="136"/>
      <c r="N23" s="85"/>
      <c r="S23" s="21">
        <v>57</v>
      </c>
      <c r="T23" s="21">
        <v>64</v>
      </c>
      <c r="U23" s="21">
        <f>T23-S23</f>
        <v>7</v>
      </c>
      <c r="V23" s="21">
        <v>11.508100000000001</v>
      </c>
      <c r="W23" s="21">
        <f>ROUND(V23,2)</f>
        <v>11.51</v>
      </c>
    </row>
    <row r="24" spans="3:28" x14ac:dyDescent="0.3">
      <c r="C24" s="139"/>
      <c r="D24" s="136"/>
      <c r="E24" s="152" t="s">
        <v>94</v>
      </c>
      <c r="F24" s="152" t="s">
        <v>96</v>
      </c>
      <c r="G24" s="136"/>
      <c r="N24" s="85"/>
      <c r="S24" s="21">
        <v>57</v>
      </c>
      <c r="T24" s="21">
        <v>65</v>
      </c>
      <c r="U24" s="21">
        <f>T24-S24</f>
        <v>8</v>
      </c>
      <c r="V24" s="21">
        <v>10.826700000000001</v>
      </c>
      <c r="W24" s="21">
        <f>ROUND(V24,2)</f>
        <v>10.83</v>
      </c>
    </row>
    <row r="25" spans="3:28" x14ac:dyDescent="0.3">
      <c r="C25" s="144" t="s">
        <v>178</v>
      </c>
      <c r="D25" s="144"/>
      <c r="E25" s="151">
        <v>59</v>
      </c>
      <c r="F25" s="150">
        <v>57</v>
      </c>
      <c r="G25" s="136"/>
      <c r="N25" s="85"/>
    </row>
    <row r="26" spans="3:28" x14ac:dyDescent="0.3">
      <c r="C26" s="144" t="s">
        <v>177</v>
      </c>
      <c r="D26" s="144"/>
      <c r="E26" s="151">
        <v>25</v>
      </c>
      <c r="F26" s="150">
        <v>7</v>
      </c>
      <c r="G26" s="136"/>
      <c r="N26" s="85"/>
    </row>
    <row r="27" spans="3:28" x14ac:dyDescent="0.3">
      <c r="C27" s="144" t="s">
        <v>176</v>
      </c>
      <c r="D27" s="144"/>
      <c r="E27" s="149">
        <v>36861</v>
      </c>
      <c r="F27" s="148">
        <v>43435</v>
      </c>
      <c r="G27" s="136"/>
      <c r="N27" s="85"/>
      <c r="S27" s="21" t="s">
        <v>175</v>
      </c>
      <c r="T27" s="147">
        <v>3.5999999999999997E-2</v>
      </c>
      <c r="U27" s="21">
        <v>10</v>
      </c>
      <c r="V27" s="147">
        <v>4.4999999999999998E-2</v>
      </c>
    </row>
    <row r="28" spans="3:28" x14ac:dyDescent="0.3">
      <c r="C28" s="144" t="s">
        <v>174</v>
      </c>
      <c r="D28" s="144"/>
      <c r="E28" s="146" t="s">
        <v>173</v>
      </c>
      <c r="F28" s="145" t="s">
        <v>173</v>
      </c>
      <c r="G28" s="136"/>
      <c r="N28" s="85"/>
      <c r="S28" s="21" t="s">
        <v>172</v>
      </c>
      <c r="T28" s="21" t="s">
        <v>171</v>
      </c>
      <c r="U28" s="21">
        <v>2025</v>
      </c>
      <c r="V28" s="21">
        <v>3</v>
      </c>
    </row>
    <row r="29" spans="3:28" x14ac:dyDescent="0.3">
      <c r="C29" s="144" t="s">
        <v>170</v>
      </c>
      <c r="D29" s="144"/>
      <c r="E29" s="143">
        <v>255000</v>
      </c>
      <c r="F29" s="142">
        <v>280000</v>
      </c>
      <c r="G29" s="136"/>
      <c r="N29" s="85"/>
      <c r="S29" s="21" t="s">
        <v>169</v>
      </c>
      <c r="T29" s="141">
        <v>0.5</v>
      </c>
    </row>
    <row r="30" spans="3:28" x14ac:dyDescent="0.3">
      <c r="C30" s="136"/>
      <c r="D30" s="136"/>
      <c r="E30" s="136"/>
      <c r="F30" s="136"/>
      <c r="G30" s="136"/>
      <c r="N30" s="85"/>
      <c r="S30" s="21" t="s">
        <v>168</v>
      </c>
      <c r="T30" s="140">
        <v>24442</v>
      </c>
      <c r="U30" s="21">
        <v>59</v>
      </c>
    </row>
    <row r="31" spans="3:28" x14ac:dyDescent="0.3">
      <c r="C31" s="139" t="s">
        <v>167</v>
      </c>
      <c r="D31" s="136"/>
      <c r="E31" s="136"/>
      <c r="F31" s="136"/>
      <c r="G31" s="136"/>
      <c r="N31" s="85"/>
    </row>
    <row r="32" spans="3:28" x14ac:dyDescent="0.3">
      <c r="C32" s="127" t="s">
        <v>166</v>
      </c>
      <c r="D32" s="136"/>
      <c r="E32" s="136"/>
      <c r="F32" s="136"/>
      <c r="G32" s="136"/>
      <c r="N32" s="85"/>
      <c r="R32" s="138"/>
      <c r="T32" s="21" t="s">
        <v>165</v>
      </c>
      <c r="W32" s="21" t="s">
        <v>164</v>
      </c>
    </row>
    <row r="33" spans="2:25" x14ac:dyDescent="0.3">
      <c r="C33" s="127" t="s">
        <v>163</v>
      </c>
      <c r="D33" s="136"/>
      <c r="E33" s="136"/>
      <c r="F33" s="136"/>
      <c r="G33" s="136"/>
      <c r="N33" s="85"/>
      <c r="T33" s="21" t="s">
        <v>162</v>
      </c>
      <c r="U33" s="21" t="s">
        <v>161</v>
      </c>
      <c r="V33" s="21" t="s">
        <v>160</v>
      </c>
      <c r="W33" s="21" t="s">
        <v>159</v>
      </c>
      <c r="X33" s="21" t="s">
        <v>158</v>
      </c>
    </row>
    <row r="34" spans="2:25" x14ac:dyDescent="0.3">
      <c r="C34" s="127" t="s">
        <v>157</v>
      </c>
      <c r="D34" s="136"/>
      <c r="E34" s="136"/>
      <c r="F34" s="136"/>
      <c r="G34" s="136"/>
      <c r="N34" s="85"/>
    </row>
    <row r="35" spans="2:25" x14ac:dyDescent="0.3">
      <c r="C35" s="127" t="s">
        <v>156</v>
      </c>
      <c r="D35" s="136"/>
      <c r="E35" s="136"/>
      <c r="F35" s="136"/>
      <c r="G35" s="136"/>
      <c r="N35" s="85"/>
      <c r="S35" s="21" t="s">
        <v>155</v>
      </c>
      <c r="T35" s="21">
        <v>59</v>
      </c>
      <c r="U35" s="21">
        <v>59</v>
      </c>
      <c r="V35" s="21">
        <f>U35-T35</f>
        <v>0</v>
      </c>
      <c r="W35" s="21">
        <v>16.961400000000001</v>
      </c>
      <c r="X35" s="21">
        <f>ROUND(W35,2)</f>
        <v>16.96</v>
      </c>
      <c r="Y35" s="21" t="s">
        <v>152</v>
      </c>
    </row>
    <row r="36" spans="2:25" x14ac:dyDescent="0.3">
      <c r="C36" s="127" t="s">
        <v>154</v>
      </c>
      <c r="D36" s="136"/>
      <c r="E36" s="136"/>
      <c r="F36" s="136"/>
      <c r="G36" s="136"/>
      <c r="N36" s="85"/>
      <c r="S36" s="21" t="s">
        <v>153</v>
      </c>
      <c r="T36" s="21">
        <v>59</v>
      </c>
      <c r="U36" s="21">
        <v>59</v>
      </c>
      <c r="V36" s="21">
        <f>U36-T36</f>
        <v>0</v>
      </c>
      <c r="W36" s="21">
        <v>5.3513999999999999</v>
      </c>
      <c r="X36" s="21">
        <f>ROUND(W36,2)</f>
        <v>5.35</v>
      </c>
      <c r="Y36" s="21" t="s">
        <v>152</v>
      </c>
    </row>
    <row r="37" spans="2:25" x14ac:dyDescent="0.3">
      <c r="C37" s="127" t="s">
        <v>151</v>
      </c>
      <c r="D37" s="136"/>
      <c r="E37" s="136"/>
      <c r="F37" s="136"/>
      <c r="G37" s="136"/>
      <c r="N37" s="85"/>
      <c r="T37" s="21" t="s">
        <v>150</v>
      </c>
      <c r="U37" s="137">
        <f>X35*M76+X36*M77</f>
        <v>1658556.6514285714</v>
      </c>
    </row>
    <row r="38" spans="2:25" x14ac:dyDescent="0.3">
      <c r="C38" s="127" t="s">
        <v>149</v>
      </c>
      <c r="D38" s="136"/>
      <c r="E38" s="136"/>
      <c r="F38" s="136"/>
      <c r="G38" s="136"/>
      <c r="N38" s="85"/>
    </row>
    <row r="39" spans="2:25" x14ac:dyDescent="0.3">
      <c r="D39" s="136"/>
      <c r="E39" s="136"/>
      <c r="F39" s="136"/>
      <c r="G39" s="136"/>
      <c r="N39" s="85"/>
    </row>
    <row r="40" spans="2:25" x14ac:dyDescent="0.3">
      <c r="C40" s="135" t="s">
        <v>148</v>
      </c>
      <c r="D40" s="130"/>
      <c r="E40" s="130"/>
      <c r="F40" s="130"/>
      <c r="G40" s="130"/>
      <c r="H40" s="130"/>
      <c r="N40" s="85"/>
    </row>
    <row r="41" spans="2:25" ht="16.2" thickBot="1" x14ac:dyDescent="0.35">
      <c r="C41" s="135"/>
      <c r="D41" s="130"/>
      <c r="E41" s="130"/>
      <c r="F41" s="130"/>
      <c r="G41" s="130"/>
      <c r="H41" s="130"/>
      <c r="N41" s="85"/>
    </row>
    <row r="42" spans="2:25" ht="19.2" thickBot="1" x14ac:dyDescent="0.35">
      <c r="C42" s="134" t="s">
        <v>147</v>
      </c>
      <c r="D42" s="133" t="s">
        <v>146</v>
      </c>
      <c r="E42" s="130"/>
      <c r="F42" s="130"/>
      <c r="G42" s="130"/>
      <c r="H42" s="130"/>
      <c r="N42" s="85"/>
    </row>
    <row r="43" spans="2:25" ht="19.2" thickBot="1" x14ac:dyDescent="0.35">
      <c r="C43" s="132" t="s">
        <v>145</v>
      </c>
      <c r="D43" s="131" t="s">
        <v>144</v>
      </c>
      <c r="E43" s="130"/>
      <c r="F43" s="130"/>
      <c r="G43" s="130"/>
      <c r="H43" s="130"/>
      <c r="N43" s="85"/>
    </row>
    <row r="44" spans="2:25" x14ac:dyDescent="0.3">
      <c r="E44" s="130"/>
      <c r="F44" s="130"/>
      <c r="G44" s="130"/>
      <c r="H44" s="130"/>
      <c r="N44" s="85"/>
    </row>
    <row r="46" spans="2:25" x14ac:dyDescent="0.3">
      <c r="B46" s="13" t="s">
        <v>0</v>
      </c>
      <c r="C46" s="22" t="s">
        <v>143</v>
      </c>
      <c r="D46" s="128" t="s">
        <v>142</v>
      </c>
      <c r="E46" s="128"/>
      <c r="F46" s="128"/>
      <c r="G46" s="128"/>
      <c r="H46" s="128"/>
      <c r="K46" s="21" t="s">
        <v>0</v>
      </c>
      <c r="L46" s="85"/>
      <c r="M46" s="90" t="s">
        <v>94</v>
      </c>
    </row>
    <row r="47" spans="2:25" x14ac:dyDescent="0.3">
      <c r="C47" s="22"/>
      <c r="D47" s="128"/>
      <c r="E47" s="128"/>
      <c r="F47" s="128"/>
      <c r="G47" s="128"/>
      <c r="H47" s="128"/>
      <c r="L47" s="89" t="s">
        <v>124</v>
      </c>
      <c r="M47" s="112">
        <f>E25</f>
        <v>59</v>
      </c>
    </row>
    <row r="48" spans="2:25" ht="15.6" customHeight="1" x14ac:dyDescent="0.3">
      <c r="C48" s="22"/>
      <c r="D48" s="126"/>
      <c r="E48" s="126"/>
      <c r="F48" s="126"/>
      <c r="G48" s="126"/>
      <c r="H48" s="126"/>
      <c r="L48" s="89" t="s">
        <v>123</v>
      </c>
      <c r="M48" s="112">
        <f>E26</f>
        <v>25</v>
      </c>
    </row>
    <row r="49" spans="3:13" x14ac:dyDescent="0.3">
      <c r="C49" s="22"/>
      <c r="D49" s="126" t="s">
        <v>141</v>
      </c>
      <c r="E49" s="126"/>
      <c r="F49" s="126"/>
      <c r="G49" s="126"/>
      <c r="H49" s="126"/>
      <c r="L49" s="89" t="s">
        <v>122</v>
      </c>
      <c r="M49" s="88">
        <v>255000</v>
      </c>
    </row>
    <row r="50" spans="3:13" x14ac:dyDescent="0.3">
      <c r="L50" s="113" t="s">
        <v>121</v>
      </c>
      <c r="M50" s="112">
        <f>+M47+M48</f>
        <v>84</v>
      </c>
    </row>
    <row r="51" spans="3:13" x14ac:dyDescent="0.3">
      <c r="D51" s="63" t="s">
        <v>2</v>
      </c>
      <c r="E51" s="64"/>
      <c r="F51" s="64"/>
      <c r="G51" s="64"/>
      <c r="H51" s="65"/>
      <c r="M51" s="129"/>
    </row>
    <row r="52" spans="3:13" x14ac:dyDescent="0.3">
      <c r="D52" s="66"/>
      <c r="E52" s="67"/>
      <c r="F52" s="67"/>
      <c r="G52" s="67"/>
      <c r="H52" s="68"/>
      <c r="L52" s="85"/>
      <c r="M52" s="77"/>
    </row>
    <row r="53" spans="3:13" ht="15.6" customHeight="1" x14ac:dyDescent="0.3">
      <c r="L53" s="107" t="s">
        <v>120</v>
      </c>
      <c r="M53" s="77"/>
    </row>
    <row r="54" spans="3:13" ht="21" customHeight="1" x14ac:dyDescent="0.3">
      <c r="C54" s="128" t="s">
        <v>140</v>
      </c>
      <c r="D54" s="128"/>
      <c r="E54" s="128"/>
      <c r="F54" s="128"/>
      <c r="G54" s="128"/>
      <c r="H54" s="128"/>
      <c r="L54" s="85" t="s">
        <v>119</v>
      </c>
      <c r="M54" s="77"/>
    </row>
    <row r="55" spans="3:13" ht="27.6" customHeight="1" x14ac:dyDescent="0.3">
      <c r="C55" s="128"/>
      <c r="D55" s="128"/>
      <c r="E55" s="128"/>
      <c r="F55" s="128"/>
      <c r="G55" s="128"/>
      <c r="H55" s="128"/>
      <c r="L55" s="110" t="s">
        <v>118</v>
      </c>
      <c r="M55" s="84">
        <f>M48*2%*M49</f>
        <v>127500</v>
      </c>
    </row>
    <row r="56" spans="3:13" x14ac:dyDescent="0.3">
      <c r="C56" s="126"/>
      <c r="D56" s="126"/>
      <c r="E56" s="126"/>
      <c r="F56" s="126"/>
      <c r="G56" s="126"/>
      <c r="H56" s="126"/>
      <c r="L56" s="110" t="s">
        <v>116</v>
      </c>
      <c r="M56" s="111">
        <f>IF((M47+M48)&gt;=85,0%,0.06*MAX(0,60-M47)+0.04*IF(M47&gt;60,M47-60,5))</f>
        <v>0.26</v>
      </c>
    </row>
    <row r="57" spans="3:13" x14ac:dyDescent="0.3">
      <c r="C57" s="127" t="s">
        <v>139</v>
      </c>
      <c r="D57" s="126"/>
      <c r="E57" s="126"/>
      <c r="F57" s="126"/>
      <c r="G57" s="126"/>
      <c r="H57" s="126"/>
      <c r="L57" s="108" t="s">
        <v>114</v>
      </c>
      <c r="M57" s="106">
        <f>M55*(1-M56)</f>
        <v>94350</v>
      </c>
    </row>
    <row r="58" spans="3:13" x14ac:dyDescent="0.3">
      <c r="C58" s="127" t="s">
        <v>138</v>
      </c>
      <c r="D58" s="126"/>
      <c r="E58" s="126"/>
      <c r="F58" s="126"/>
      <c r="G58" s="126"/>
      <c r="H58" s="126"/>
      <c r="L58" s="85" t="s">
        <v>113</v>
      </c>
    </row>
    <row r="59" spans="3:13" ht="15.6" customHeight="1" x14ac:dyDescent="0.3">
      <c r="C59" s="127" t="s">
        <v>137</v>
      </c>
      <c r="D59" s="126"/>
      <c r="E59" s="126"/>
      <c r="F59" s="126"/>
      <c r="G59" s="126"/>
      <c r="H59" s="126"/>
      <c r="L59" s="82" t="s">
        <v>112</v>
      </c>
      <c r="M59" s="104">
        <f>IF(M48&gt;=10,1500*12,0)*(1-M56)</f>
        <v>13320</v>
      </c>
    </row>
    <row r="60" spans="3:13" x14ac:dyDescent="0.3">
      <c r="C60" s="125"/>
      <c r="L60" s="107" t="s">
        <v>111</v>
      </c>
      <c r="M60" s="106"/>
    </row>
    <row r="61" spans="3:13" ht="15.6" customHeight="1" x14ac:dyDescent="0.3">
      <c r="C61" s="124" t="s">
        <v>136</v>
      </c>
      <c r="D61" s="124"/>
      <c r="E61" s="124"/>
      <c r="F61" s="124"/>
      <c r="G61" s="124"/>
      <c r="H61" s="124"/>
      <c r="L61" s="105" t="s">
        <v>110</v>
      </c>
    </row>
    <row r="62" spans="3:13" x14ac:dyDescent="0.3">
      <c r="C62" s="124"/>
      <c r="D62" s="124"/>
      <c r="E62" s="124"/>
      <c r="F62" s="124"/>
      <c r="G62" s="124"/>
      <c r="H62" s="124"/>
      <c r="L62" s="82" t="s">
        <v>109</v>
      </c>
      <c r="M62" s="104">
        <v>3756.67</v>
      </c>
    </row>
    <row r="63" spans="3:13" ht="31.2" x14ac:dyDescent="0.3">
      <c r="C63" s="120"/>
      <c r="D63" s="120"/>
      <c r="E63" s="120"/>
      <c r="F63" s="120"/>
      <c r="G63" s="120"/>
      <c r="H63" s="120"/>
      <c r="L63" s="82" t="s">
        <v>108</v>
      </c>
      <c r="M63" s="104">
        <f>M62*M48</f>
        <v>93916.75</v>
      </c>
    </row>
    <row r="64" spans="3:13" ht="31.2" x14ac:dyDescent="0.3">
      <c r="C64" s="120"/>
      <c r="D64" s="123" t="s">
        <v>124</v>
      </c>
      <c r="E64" s="123" t="s">
        <v>88</v>
      </c>
      <c r="F64" s="120"/>
      <c r="G64" s="120"/>
      <c r="H64" s="120"/>
      <c r="L64" s="82" t="s">
        <v>107</v>
      </c>
      <c r="M64" s="94" t="s">
        <v>135</v>
      </c>
    </row>
    <row r="65" spans="2:14" x14ac:dyDescent="0.3">
      <c r="C65" s="120"/>
      <c r="D65" s="122">
        <v>55</v>
      </c>
      <c r="E65" s="121">
        <v>10.4</v>
      </c>
      <c r="F65" s="120"/>
      <c r="G65" s="120"/>
      <c r="H65" s="120"/>
      <c r="L65" s="82" t="s">
        <v>105</v>
      </c>
      <c r="M65" s="103">
        <f xml:space="preserve"> 0*0.25%*12</f>
        <v>0</v>
      </c>
    </row>
    <row r="66" spans="2:14" x14ac:dyDescent="0.3">
      <c r="C66" s="120"/>
      <c r="D66" s="122">
        <v>56</v>
      </c>
      <c r="E66" s="121">
        <v>10.6</v>
      </c>
      <c r="F66" s="120"/>
      <c r="G66" s="120"/>
      <c r="H66" s="120"/>
      <c r="L66" s="102" t="s">
        <v>104</v>
      </c>
      <c r="M66" s="96">
        <f>M63*(1-M65)</f>
        <v>93916.75</v>
      </c>
    </row>
    <row r="67" spans="2:14" x14ac:dyDescent="0.3">
      <c r="C67" s="120"/>
      <c r="D67" s="122">
        <v>57</v>
      </c>
      <c r="E67" s="121">
        <v>10.8</v>
      </c>
      <c r="F67" s="120"/>
      <c r="G67" s="120"/>
      <c r="H67" s="120"/>
      <c r="L67" s="101" t="s">
        <v>103</v>
      </c>
      <c r="M67" s="94"/>
    </row>
    <row r="68" spans="2:14" x14ac:dyDescent="0.3">
      <c r="C68" s="120"/>
      <c r="D68" s="122">
        <v>58</v>
      </c>
      <c r="E68" s="121">
        <v>11</v>
      </c>
      <c r="F68" s="120"/>
      <c r="G68" s="120"/>
      <c r="H68" s="120"/>
      <c r="L68" s="82" t="s">
        <v>134</v>
      </c>
      <c r="M68" s="104">
        <f>12*(727.67+1433)</f>
        <v>25928.04</v>
      </c>
    </row>
    <row r="69" spans="2:14" ht="31.2" x14ac:dyDescent="0.3">
      <c r="C69" s="120"/>
      <c r="D69" s="122">
        <v>59</v>
      </c>
      <c r="E69" s="121">
        <v>11.3</v>
      </c>
      <c r="F69" s="120"/>
      <c r="G69" s="120"/>
      <c r="H69" s="120"/>
      <c r="L69" s="82" t="s">
        <v>133</v>
      </c>
      <c r="M69" s="94" t="s">
        <v>132</v>
      </c>
    </row>
    <row r="70" spans="2:14" x14ac:dyDescent="0.3">
      <c r="C70" s="120"/>
      <c r="D70" s="122">
        <v>60</v>
      </c>
      <c r="E70" s="121">
        <v>11.5</v>
      </c>
      <c r="F70" s="120"/>
      <c r="G70" s="120"/>
      <c r="H70" s="120"/>
      <c r="L70" s="82"/>
      <c r="M70" s="111">
        <f>1-MIN(1,M48/10)*(1-(60-M47)*0.25%*12)</f>
        <v>3.0000000000000027E-2</v>
      </c>
    </row>
    <row r="71" spans="2:14" x14ac:dyDescent="0.3">
      <c r="C71" s="120"/>
      <c r="D71" s="122">
        <v>61</v>
      </c>
      <c r="E71" s="121">
        <v>11.7</v>
      </c>
      <c r="F71" s="120"/>
      <c r="G71" s="120"/>
      <c r="H71" s="120"/>
      <c r="L71" s="102" t="s">
        <v>131</v>
      </c>
      <c r="M71" s="96">
        <f>M68*(1-M70)</f>
        <v>25150.198800000002</v>
      </c>
    </row>
    <row r="72" spans="2:14" x14ac:dyDescent="0.3">
      <c r="C72" s="120"/>
      <c r="D72" s="122">
        <v>62</v>
      </c>
      <c r="E72" s="121">
        <v>12</v>
      </c>
      <c r="F72" s="120"/>
      <c r="G72" s="120"/>
      <c r="H72" s="120"/>
      <c r="L72" s="101" t="s">
        <v>102</v>
      </c>
      <c r="M72" s="119"/>
    </row>
    <row r="73" spans="2:14" ht="27.6" x14ac:dyDescent="0.3">
      <c r="L73" s="82" t="s">
        <v>130</v>
      </c>
      <c r="M73" s="118" t="s">
        <v>129</v>
      </c>
    </row>
    <row r="74" spans="2:14" ht="15.6" customHeight="1" thickBot="1" x14ac:dyDescent="0.35">
      <c r="B74" s="13" t="s">
        <v>1</v>
      </c>
      <c r="C74" s="22" t="s">
        <v>128</v>
      </c>
      <c r="D74" s="117" t="s">
        <v>127</v>
      </c>
      <c r="M74" s="104">
        <f>M62*M48+25%*68800*M48/35</f>
        <v>106202.46428571429</v>
      </c>
    </row>
    <row r="75" spans="2:14" ht="26.1" customHeight="1" x14ac:dyDescent="0.3">
      <c r="L75" s="100" t="s">
        <v>126</v>
      </c>
      <c r="M75" s="116"/>
      <c r="N75" s="98"/>
    </row>
    <row r="76" spans="2:14" x14ac:dyDescent="0.3">
      <c r="D76" s="63" t="s">
        <v>2</v>
      </c>
      <c r="E76" s="64"/>
      <c r="F76" s="64"/>
      <c r="G76" s="64"/>
      <c r="H76" s="65"/>
      <c r="L76" s="97" t="s">
        <v>99</v>
      </c>
      <c r="M76" s="115">
        <f>MIN(M57,M66)</f>
        <v>93916.75</v>
      </c>
      <c r="N76" s="95" t="s">
        <v>98</v>
      </c>
    </row>
    <row r="77" spans="2:14" x14ac:dyDescent="0.3">
      <c r="D77" s="66"/>
      <c r="E77" s="67"/>
      <c r="F77" s="67"/>
      <c r="G77" s="67"/>
      <c r="H77" s="68"/>
      <c r="L77" s="97" t="s">
        <v>97</v>
      </c>
      <c r="M77" s="115">
        <f>MIN(M74-M76,MIN(M71,M59))</f>
        <v>12285.71428571429</v>
      </c>
      <c r="N77" s="95" t="s">
        <v>94</v>
      </c>
    </row>
    <row r="78" spans="2:14" ht="15.6" customHeight="1" thickBot="1" x14ac:dyDescent="0.35">
      <c r="L78" s="93"/>
      <c r="M78" s="114" t="s">
        <v>125</v>
      </c>
      <c r="N78" s="91"/>
    </row>
    <row r="79" spans="2:14" ht="15.6" customHeight="1" x14ac:dyDescent="0.3"/>
    <row r="82" spans="12:13" x14ac:dyDescent="0.3">
      <c r="L82" s="85"/>
      <c r="M82" s="90" t="s">
        <v>96</v>
      </c>
    </row>
    <row r="83" spans="12:13" x14ac:dyDescent="0.3">
      <c r="L83" s="89" t="s">
        <v>124</v>
      </c>
      <c r="M83" s="112">
        <f>F25</f>
        <v>57</v>
      </c>
    </row>
    <row r="84" spans="12:13" x14ac:dyDescent="0.3">
      <c r="L84" s="89" t="s">
        <v>123</v>
      </c>
      <c r="M84" s="112">
        <f>F26</f>
        <v>7</v>
      </c>
    </row>
    <row r="85" spans="12:13" x14ac:dyDescent="0.3">
      <c r="L85" s="89" t="s">
        <v>122</v>
      </c>
      <c r="M85" s="88">
        <f>F29</f>
        <v>280000</v>
      </c>
    </row>
    <row r="86" spans="12:13" x14ac:dyDescent="0.3">
      <c r="L86" s="113" t="s">
        <v>121</v>
      </c>
      <c r="M86" s="112">
        <f>+M83+M84</f>
        <v>64</v>
      </c>
    </row>
    <row r="87" spans="12:13" x14ac:dyDescent="0.3">
      <c r="L87" s="85"/>
      <c r="M87" s="77"/>
    </row>
    <row r="88" spans="12:13" x14ac:dyDescent="0.3">
      <c r="L88" s="107" t="s">
        <v>120</v>
      </c>
      <c r="M88" s="77"/>
    </row>
    <row r="89" spans="12:13" x14ac:dyDescent="0.3">
      <c r="L89" s="85" t="s">
        <v>119</v>
      </c>
      <c r="M89" s="77"/>
    </row>
    <row r="90" spans="12:13" x14ac:dyDescent="0.3">
      <c r="L90" s="110" t="s">
        <v>118</v>
      </c>
      <c r="M90" s="84">
        <f>M84*2%*M85</f>
        <v>39200.000000000007</v>
      </c>
    </row>
    <row r="91" spans="12:13" x14ac:dyDescent="0.3">
      <c r="L91" s="110" t="s">
        <v>117</v>
      </c>
      <c r="M91" s="111">
        <f>1-W24/W12</f>
        <v>0.37034883720930234</v>
      </c>
    </row>
    <row r="92" spans="12:13" ht="15.6" customHeight="1" x14ac:dyDescent="0.3">
      <c r="L92" s="110" t="s">
        <v>116</v>
      </c>
      <c r="M92" s="111">
        <f>IF((M83+M84)&gt;=85,0%,0.06*MAX(0,60-M83)+0.04*IF(M83&gt;60,M83-60,5))</f>
        <v>0.38</v>
      </c>
    </row>
    <row r="93" spans="12:13" x14ac:dyDescent="0.3">
      <c r="L93" s="110" t="s">
        <v>115</v>
      </c>
      <c r="M93" s="109">
        <f>MIN(M92,M91)</f>
        <v>0.37034883720930234</v>
      </c>
    </row>
    <row r="94" spans="12:13" x14ac:dyDescent="0.3">
      <c r="L94" s="108" t="s">
        <v>114</v>
      </c>
      <c r="M94" s="96">
        <f>M90*(1-M93)</f>
        <v>24682.325581395355</v>
      </c>
    </row>
    <row r="95" spans="12:13" x14ac:dyDescent="0.3">
      <c r="L95" s="85" t="s">
        <v>113</v>
      </c>
    </row>
    <row r="96" spans="12:13" x14ac:dyDescent="0.3">
      <c r="L96" s="82" t="s">
        <v>112</v>
      </c>
      <c r="M96" s="104">
        <f>IF(M84&gt;=10,1500*12,0)</f>
        <v>0</v>
      </c>
    </row>
    <row r="97" spans="12:15" x14ac:dyDescent="0.3">
      <c r="L97" s="107" t="s">
        <v>111</v>
      </c>
      <c r="M97" s="106"/>
    </row>
    <row r="98" spans="12:15" ht="31.2" x14ac:dyDescent="0.3">
      <c r="L98" s="105" t="s">
        <v>110</v>
      </c>
    </row>
    <row r="99" spans="12:15" x14ac:dyDescent="0.3">
      <c r="L99" s="82" t="s">
        <v>109</v>
      </c>
      <c r="M99" s="104">
        <v>3756.67</v>
      </c>
    </row>
    <row r="100" spans="12:15" ht="31.2" x14ac:dyDescent="0.3">
      <c r="L100" s="82" t="s">
        <v>108</v>
      </c>
      <c r="M100" s="104">
        <f>M99*M84</f>
        <v>26296.690000000002</v>
      </c>
    </row>
    <row r="101" spans="12:15" x14ac:dyDescent="0.3">
      <c r="L101" s="82" t="s">
        <v>107</v>
      </c>
      <c r="M101" s="94" t="s">
        <v>106</v>
      </c>
    </row>
    <row r="102" spans="12:15" x14ac:dyDescent="0.3">
      <c r="L102" s="82" t="s">
        <v>105</v>
      </c>
      <c r="M102" s="103">
        <f>3*0.25%*12</f>
        <v>0.09</v>
      </c>
    </row>
    <row r="103" spans="12:15" x14ac:dyDescent="0.3">
      <c r="L103" s="102" t="s">
        <v>104</v>
      </c>
      <c r="M103" s="96">
        <f>M100*(1-M102)</f>
        <v>23929.987900000004</v>
      </c>
    </row>
    <row r="104" spans="12:15" x14ac:dyDescent="0.3">
      <c r="L104" s="101" t="s">
        <v>103</v>
      </c>
      <c r="M104" s="94" t="s">
        <v>101</v>
      </c>
    </row>
    <row r="105" spans="12:15" ht="16.2" thickBot="1" x14ac:dyDescent="0.35">
      <c r="L105" s="101" t="s">
        <v>102</v>
      </c>
      <c r="M105" s="94" t="s">
        <v>101</v>
      </c>
    </row>
    <row r="106" spans="12:15" x14ac:dyDescent="0.3">
      <c r="L106" s="100" t="s">
        <v>100</v>
      </c>
      <c r="M106" s="99"/>
      <c r="N106" s="98"/>
    </row>
    <row r="107" spans="12:15" x14ac:dyDescent="0.3">
      <c r="L107" s="97" t="s">
        <v>99</v>
      </c>
      <c r="M107" s="96">
        <f>MIN(M94,M103)</f>
        <v>23929.987900000004</v>
      </c>
      <c r="N107" s="95" t="s">
        <v>98</v>
      </c>
    </row>
    <row r="108" spans="12:15" x14ac:dyDescent="0.3">
      <c r="L108" s="97" t="s">
        <v>97</v>
      </c>
      <c r="M108" s="96">
        <v>0</v>
      </c>
      <c r="N108" s="95" t="s">
        <v>96</v>
      </c>
      <c r="O108" s="94"/>
    </row>
    <row r="109" spans="12:15" ht="16.2" thickBot="1" x14ac:dyDescent="0.35">
      <c r="L109" s="93"/>
      <c r="M109" s="92" t="s">
        <v>95</v>
      </c>
      <c r="N109" s="91"/>
    </row>
    <row r="113" spans="11:18" x14ac:dyDescent="0.3">
      <c r="K113" s="21" t="s">
        <v>1</v>
      </c>
      <c r="L113" s="85"/>
      <c r="M113" s="90" t="s">
        <v>94</v>
      </c>
    </row>
    <row r="114" spans="11:18" x14ac:dyDescent="0.3">
      <c r="L114" s="89" t="s">
        <v>93</v>
      </c>
      <c r="M114" s="88">
        <v>1148000</v>
      </c>
    </row>
    <row r="115" spans="11:18" x14ac:dyDescent="0.3">
      <c r="L115" s="21" t="s">
        <v>92</v>
      </c>
      <c r="M115" s="87">
        <v>3.5999999999999997E-2</v>
      </c>
    </row>
    <row r="116" spans="11:18" x14ac:dyDescent="0.3">
      <c r="L116" s="21" t="s">
        <v>91</v>
      </c>
      <c r="M116" s="86">
        <f>1/3</f>
        <v>0.33333333333333331</v>
      </c>
    </row>
    <row r="117" spans="11:18" x14ac:dyDescent="0.3">
      <c r="L117" s="85"/>
      <c r="M117" s="77"/>
    </row>
    <row r="118" spans="11:18" x14ac:dyDescent="0.3">
      <c r="L118" s="82" t="s">
        <v>90</v>
      </c>
      <c r="M118" s="84">
        <f>M114*(1+M115*M116)</f>
        <v>1161776</v>
      </c>
    </row>
    <row r="119" spans="11:18" x14ac:dyDescent="0.3">
      <c r="L119" s="82" t="s">
        <v>89</v>
      </c>
      <c r="M119" s="83">
        <f>59+4/12</f>
        <v>59.333333333333336</v>
      </c>
    </row>
    <row r="120" spans="11:18" ht="16.2" thickBot="1" x14ac:dyDescent="0.35">
      <c r="L120" s="82" t="s">
        <v>88</v>
      </c>
      <c r="M120" s="81">
        <f>VLOOKUP(ROUNDDOWN(M119,0),$D$65:$E$72,2,0)+(VLOOKUP(ROUNDUP(M119,0),$D$65:$E$72,2,0)-VLOOKUP(ROUNDDOWN(M119,0),$D$65:$E$72,2,0))*(M119-ROUNDDOWN(M119,0))</f>
        <v>11.366666666666667</v>
      </c>
      <c r="N120" s="21" t="s">
        <v>87</v>
      </c>
    </row>
    <row r="121" spans="11:18" ht="47.4" thickBot="1" x14ac:dyDescent="0.35">
      <c r="L121" s="80" t="s">
        <v>86</v>
      </c>
      <c r="M121" s="79">
        <f>MIN(M120*M76,M118)</f>
        <v>1067520.3916666666</v>
      </c>
      <c r="N121" s="78" t="s">
        <v>85</v>
      </c>
    </row>
    <row r="122" spans="11:18" x14ac:dyDescent="0.3">
      <c r="L122" s="77"/>
      <c r="M122" s="77"/>
    </row>
    <row r="126" spans="11:18" x14ac:dyDescent="0.3">
      <c r="R126" s="21"/>
    </row>
    <row r="127" spans="11:18" x14ac:dyDescent="0.3">
      <c r="R127" s="21"/>
    </row>
    <row r="128" spans="11:18" x14ac:dyDescent="0.3">
      <c r="R128" s="21"/>
    </row>
    <row r="129" spans="14:18" x14ac:dyDescent="0.3">
      <c r="R129" s="21"/>
    </row>
    <row r="130" spans="14:18" x14ac:dyDescent="0.3">
      <c r="R130" s="21"/>
    </row>
    <row r="131" spans="14:18" x14ac:dyDescent="0.3">
      <c r="R131" s="21"/>
    </row>
    <row r="132" spans="14:18" x14ac:dyDescent="0.3">
      <c r="R132" s="21"/>
    </row>
    <row r="133" spans="14:18" x14ac:dyDescent="0.3">
      <c r="R133" s="21"/>
    </row>
    <row r="134" spans="14:18" x14ac:dyDescent="0.3">
      <c r="R134" s="21"/>
    </row>
    <row r="135" spans="14:18" x14ac:dyDescent="0.3">
      <c r="R135" s="21"/>
    </row>
    <row r="136" spans="14:18" x14ac:dyDescent="0.3">
      <c r="N136" s="77"/>
    </row>
    <row r="137" spans="14:18" x14ac:dyDescent="0.3">
      <c r="N137" s="77"/>
      <c r="O137" s="77"/>
    </row>
    <row r="138" spans="14:18" x14ac:dyDescent="0.3">
      <c r="N138" s="77"/>
      <c r="O138" s="77"/>
    </row>
    <row r="139" spans="14:18" x14ac:dyDescent="0.3">
      <c r="N139" s="77"/>
      <c r="O139" s="77"/>
    </row>
    <row r="140" spans="14:18" x14ac:dyDescent="0.3">
      <c r="N140" s="77"/>
      <c r="O140" s="77"/>
    </row>
    <row r="141" spans="14:18" x14ac:dyDescent="0.3">
      <c r="N141" s="77"/>
      <c r="O141" s="77"/>
    </row>
    <row r="142" spans="14:18" x14ac:dyDescent="0.3">
      <c r="N142" s="77"/>
      <c r="O142" s="77"/>
    </row>
    <row r="143" spans="14:18" x14ac:dyDescent="0.3">
      <c r="N143" s="77"/>
      <c r="O143" s="77"/>
    </row>
    <row r="144" spans="14:18" x14ac:dyDescent="0.3">
      <c r="N144" s="77"/>
      <c r="O144" s="77"/>
    </row>
    <row r="145" spans="14:15" x14ac:dyDescent="0.3">
      <c r="N145" s="77"/>
      <c r="O145" s="77"/>
    </row>
    <row r="146" spans="14:15" x14ac:dyDescent="0.3">
      <c r="N146" s="77"/>
      <c r="O146" s="77"/>
    </row>
    <row r="147" spans="14:15" x14ac:dyDescent="0.3">
      <c r="N147" s="77"/>
      <c r="O147" s="77"/>
    </row>
    <row r="148" spans="14:15" x14ac:dyDescent="0.3">
      <c r="N148" s="77"/>
      <c r="O148" s="77"/>
    </row>
    <row r="149" spans="14:15" x14ac:dyDescent="0.3">
      <c r="N149" s="77"/>
      <c r="O149" s="77"/>
    </row>
    <row r="150" spans="14:15" x14ac:dyDescent="0.3">
      <c r="N150" s="77"/>
      <c r="O150" s="77"/>
    </row>
    <row r="151" spans="14:15" x14ac:dyDescent="0.3">
      <c r="N151" s="77"/>
      <c r="O151" s="77"/>
    </row>
    <row r="152" spans="14:15" x14ac:dyDescent="0.3">
      <c r="N152" s="77"/>
      <c r="O152" s="77"/>
    </row>
    <row r="153" spans="14:15" x14ac:dyDescent="0.3">
      <c r="N153" s="77"/>
      <c r="O153" s="77"/>
    </row>
    <row r="154" spans="14:15" x14ac:dyDescent="0.3">
      <c r="N154" s="77"/>
      <c r="O154" s="77"/>
    </row>
    <row r="155" spans="14:15" x14ac:dyDescent="0.3">
      <c r="N155" s="77"/>
      <c r="O155" s="77"/>
    </row>
    <row r="156" spans="14:15" x14ac:dyDescent="0.3">
      <c r="N156" s="77"/>
      <c r="O156" s="77"/>
    </row>
    <row r="157" spans="14:15" x14ac:dyDescent="0.3">
      <c r="N157" s="77"/>
      <c r="O157" s="77"/>
    </row>
    <row r="158" spans="14:15" x14ac:dyDescent="0.3">
      <c r="N158" s="77"/>
      <c r="O158" s="77"/>
    </row>
    <row r="159" spans="14:15" x14ac:dyDescent="0.3">
      <c r="N159" s="77"/>
      <c r="O159" s="77"/>
    </row>
    <row r="160" spans="14:15" x14ac:dyDescent="0.3">
      <c r="N160" s="77"/>
      <c r="O160" s="77"/>
    </row>
    <row r="161" spans="14:15" x14ac:dyDescent="0.3">
      <c r="N161" s="77"/>
      <c r="O161" s="77"/>
    </row>
    <row r="162" spans="14:15" x14ac:dyDescent="0.3">
      <c r="N162" s="77"/>
      <c r="O162" s="77"/>
    </row>
    <row r="163" spans="14:15" x14ac:dyDescent="0.3">
      <c r="N163" s="77"/>
      <c r="O163" s="77"/>
    </row>
    <row r="164" spans="14:15" x14ac:dyDescent="0.3">
      <c r="N164" s="77"/>
      <c r="O164" s="77"/>
    </row>
    <row r="165" spans="14:15" x14ac:dyDescent="0.3">
      <c r="N165" s="77"/>
      <c r="O165" s="77"/>
    </row>
    <row r="166" spans="14:15" x14ac:dyDescent="0.3">
      <c r="N166" s="77"/>
      <c r="O166" s="77"/>
    </row>
    <row r="167" spans="14:15" x14ac:dyDescent="0.3">
      <c r="N167" s="77"/>
      <c r="O167" s="77"/>
    </row>
    <row r="168" spans="14:15" x14ac:dyDescent="0.3">
      <c r="N168" s="77"/>
      <c r="O168" s="77"/>
    </row>
    <row r="169" spans="14:15" x14ac:dyDescent="0.3">
      <c r="N169" s="77"/>
      <c r="O169" s="77"/>
    </row>
    <row r="170" spans="14:15" x14ac:dyDescent="0.3">
      <c r="N170" s="77"/>
      <c r="O170" s="77"/>
    </row>
    <row r="171" spans="14:15" x14ac:dyDescent="0.3">
      <c r="N171" s="77"/>
      <c r="O171" s="77"/>
    </row>
    <row r="172" spans="14:15" x14ac:dyDescent="0.3">
      <c r="N172" s="77"/>
      <c r="O172" s="77"/>
    </row>
    <row r="173" spans="14:15" x14ac:dyDescent="0.3">
      <c r="N173" s="77"/>
      <c r="O173" s="77"/>
    </row>
    <row r="174" spans="14:15" x14ac:dyDescent="0.3">
      <c r="N174" s="77"/>
      <c r="O174" s="77"/>
    </row>
    <row r="175" spans="14:15" x14ac:dyDescent="0.3">
      <c r="N175" s="77"/>
      <c r="O175" s="77"/>
    </row>
    <row r="176" spans="14:15" x14ac:dyDescent="0.3">
      <c r="N176" s="77"/>
      <c r="O176" s="77"/>
    </row>
    <row r="177" spans="14:15" x14ac:dyDescent="0.3">
      <c r="N177" s="77"/>
      <c r="O177" s="77"/>
    </row>
    <row r="178" spans="14:15" x14ac:dyDescent="0.3">
      <c r="N178" s="77"/>
      <c r="O178" s="77"/>
    </row>
    <row r="179" spans="14:15" x14ac:dyDescent="0.3">
      <c r="N179" s="77"/>
      <c r="O179" s="77"/>
    </row>
    <row r="180" spans="14:15" x14ac:dyDescent="0.3">
      <c r="N180" s="77"/>
      <c r="O180" s="77"/>
    </row>
    <row r="181" spans="14:15" x14ac:dyDescent="0.3">
      <c r="N181" s="77"/>
      <c r="O181" s="77"/>
    </row>
    <row r="182" spans="14:15" x14ac:dyDescent="0.3">
      <c r="N182" s="77"/>
      <c r="O182" s="77"/>
    </row>
    <row r="183" spans="14:15" x14ac:dyDescent="0.3">
      <c r="N183" s="77"/>
      <c r="O183" s="77"/>
    </row>
    <row r="184" spans="14:15" x14ac:dyDescent="0.3">
      <c r="N184" s="77"/>
      <c r="O184" s="77"/>
    </row>
    <row r="185" spans="14:15" x14ac:dyDescent="0.3">
      <c r="N185" s="77"/>
      <c r="O185" s="77"/>
    </row>
    <row r="186" spans="14:15" x14ac:dyDescent="0.3">
      <c r="N186" s="77"/>
      <c r="O186" s="77"/>
    </row>
    <row r="187" spans="14:15" x14ac:dyDescent="0.3">
      <c r="N187" s="77"/>
      <c r="O187" s="77"/>
    </row>
    <row r="188" spans="14:15" x14ac:dyDescent="0.3">
      <c r="N188" s="77"/>
      <c r="O188" s="77"/>
    </row>
    <row r="189" spans="14:15" x14ac:dyDescent="0.3">
      <c r="N189" s="77"/>
      <c r="O189" s="77"/>
    </row>
    <row r="190" spans="14:15" x14ac:dyDescent="0.3">
      <c r="N190" s="77"/>
      <c r="O190" s="77"/>
    </row>
    <row r="191" spans="14:15" x14ac:dyDescent="0.3">
      <c r="N191" s="77"/>
      <c r="O191" s="77"/>
    </row>
    <row r="192" spans="14:15" x14ac:dyDescent="0.3">
      <c r="N192" s="77"/>
      <c r="O192" s="77"/>
    </row>
    <row r="193" spans="14:15" x14ac:dyDescent="0.3">
      <c r="N193" s="77"/>
      <c r="O193" s="77"/>
    </row>
    <row r="194" spans="14:15" x14ac:dyDescent="0.3">
      <c r="N194" s="77"/>
      <c r="O194" s="77"/>
    </row>
    <row r="195" spans="14:15" x14ac:dyDescent="0.3">
      <c r="N195" s="77"/>
      <c r="O195" s="77"/>
    </row>
    <row r="196" spans="14:15" x14ac:dyDescent="0.3">
      <c r="N196" s="77"/>
      <c r="O196" s="77"/>
    </row>
    <row r="197" spans="14:15" x14ac:dyDescent="0.3">
      <c r="N197" s="77"/>
      <c r="O197" s="77"/>
    </row>
    <row r="198" spans="14:15" x14ac:dyDescent="0.3">
      <c r="N198" s="77"/>
      <c r="O198" s="77"/>
    </row>
    <row r="199" spans="14:15" x14ac:dyDescent="0.3">
      <c r="N199" s="77"/>
      <c r="O199" s="77"/>
    </row>
    <row r="200" spans="14:15" x14ac:dyDescent="0.3">
      <c r="N200" s="77"/>
      <c r="O200" s="77"/>
    </row>
    <row r="201" spans="14:15" x14ac:dyDescent="0.3">
      <c r="N201" s="77"/>
      <c r="O201" s="77"/>
    </row>
    <row r="202" spans="14:15" x14ac:dyDescent="0.3">
      <c r="N202" s="77"/>
      <c r="O202" s="77"/>
    </row>
    <row r="203" spans="14:15" x14ac:dyDescent="0.3">
      <c r="N203" s="77"/>
      <c r="O203" s="77"/>
    </row>
    <row r="204" spans="14:15" x14ac:dyDescent="0.3">
      <c r="N204" s="77"/>
      <c r="O204" s="77"/>
    </row>
    <row r="205" spans="14:15" x14ac:dyDescent="0.3">
      <c r="N205" s="77"/>
      <c r="O205" s="77"/>
    </row>
    <row r="206" spans="14:15" x14ac:dyDescent="0.3">
      <c r="N206" s="77"/>
      <c r="O206" s="77"/>
    </row>
    <row r="207" spans="14:15" x14ac:dyDescent="0.3">
      <c r="N207" s="77"/>
      <c r="O207" s="77"/>
    </row>
    <row r="208" spans="14:15" x14ac:dyDescent="0.3">
      <c r="N208" s="77"/>
      <c r="O208" s="77"/>
    </row>
    <row r="209" spans="14:15" x14ac:dyDescent="0.3">
      <c r="N209" s="77"/>
      <c r="O209" s="77"/>
    </row>
    <row r="210" spans="14:15" x14ac:dyDescent="0.3">
      <c r="N210" s="77"/>
      <c r="O210" s="77"/>
    </row>
    <row r="211" spans="14:15" x14ac:dyDescent="0.3">
      <c r="N211" s="77"/>
      <c r="O211" s="77"/>
    </row>
    <row r="212" spans="14:15" x14ac:dyDescent="0.3">
      <c r="N212" s="77"/>
      <c r="O212" s="77"/>
    </row>
    <row r="213" spans="14:15" x14ac:dyDescent="0.3">
      <c r="N213" s="77"/>
      <c r="O213" s="77"/>
    </row>
    <row r="214" spans="14:15" x14ac:dyDescent="0.3">
      <c r="O214" s="77"/>
    </row>
  </sheetData>
  <mergeCells count="23">
    <mergeCell ref="C11:D11"/>
    <mergeCell ref="C13:D13"/>
    <mergeCell ref="C14:D15"/>
    <mergeCell ref="C5:H6"/>
    <mergeCell ref="E14:H15"/>
    <mergeCell ref="E11:H11"/>
    <mergeCell ref="E13:H13"/>
    <mergeCell ref="C26:D26"/>
    <mergeCell ref="C27:D27"/>
    <mergeCell ref="C28:D28"/>
    <mergeCell ref="C16:D16"/>
    <mergeCell ref="C17:D18"/>
    <mergeCell ref="C19:D21"/>
    <mergeCell ref="C54:H55"/>
    <mergeCell ref="C61:H62"/>
    <mergeCell ref="D76:H77"/>
    <mergeCell ref="C29:D29"/>
    <mergeCell ref="E16:H16"/>
    <mergeCell ref="E17:H18"/>
    <mergeCell ref="E19:H21"/>
    <mergeCell ref="D46:H47"/>
    <mergeCell ref="D51:H52"/>
    <mergeCell ref="C25:D2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62E9E-3353-4207-94F9-BC6F5EA21AD6}">
  <dimension ref="A1:AJ64"/>
  <sheetViews>
    <sheetView workbookViewId="0"/>
  </sheetViews>
  <sheetFormatPr defaultColWidth="8.77734375" defaultRowHeight="15.6" x14ac:dyDescent="0.3"/>
  <cols>
    <col min="1" max="1" width="3.5546875" style="3" customWidth="1"/>
    <col min="2" max="2" width="11.21875" style="3" customWidth="1"/>
    <col min="3" max="3" width="16" style="3" customWidth="1"/>
    <col min="4" max="6" width="12.77734375" style="3" customWidth="1"/>
    <col min="7" max="7" width="6.77734375" style="3" customWidth="1"/>
    <col min="8" max="8" width="12.77734375" style="3" customWidth="1"/>
    <col min="9" max="9" width="16.21875" style="3" customWidth="1"/>
    <col min="10" max="10" width="10.44140625" style="3" customWidth="1"/>
    <col min="11" max="11" width="8.21875" style="3" customWidth="1"/>
    <col min="12" max="12" width="2.5546875" style="3" customWidth="1"/>
    <col min="13" max="13" width="5.77734375" style="1" customWidth="1"/>
    <col min="14" max="14" width="26.44140625" customWidth="1"/>
    <col min="15" max="15" width="13.21875" customWidth="1"/>
    <col min="16" max="16" width="22" customWidth="1"/>
    <col min="17" max="17" width="22" bestFit="1" customWidth="1"/>
    <col min="18" max="18" width="2.21875" style="171" customWidth="1"/>
    <col min="19" max="19" width="5" style="1" customWidth="1"/>
    <col min="20" max="20" width="17.77734375" style="1" customWidth="1"/>
    <col min="21" max="21" width="21.21875" style="1" customWidth="1"/>
    <col min="22" max="22" width="18" style="1" customWidth="1"/>
    <col min="23" max="23" width="27" style="1" customWidth="1"/>
    <col min="24" max="24" width="2.21875" style="171" customWidth="1"/>
    <col min="25" max="25" width="5" style="1" customWidth="1"/>
    <col min="26" max="27" width="8.77734375" style="1"/>
    <col min="28" max="28" width="12" style="1" customWidth="1"/>
    <col min="29" max="29" width="16.77734375" style="1" customWidth="1"/>
    <col min="30" max="30" width="11.5546875" style="1" customWidth="1"/>
    <col min="31" max="31" width="13.5546875" style="1" customWidth="1"/>
    <col min="32" max="32" width="11" style="1" customWidth="1"/>
    <col min="33" max="33" width="15" style="1" customWidth="1"/>
    <col min="34" max="34" width="15.21875" style="1" bestFit="1" customWidth="1"/>
    <col min="35" max="35" width="16" style="1" customWidth="1"/>
    <col min="36" max="16384" width="8.77734375" style="1"/>
  </cols>
  <sheetData>
    <row r="1" spans="1:36" x14ac:dyDescent="0.3">
      <c r="A1" s="2" t="s">
        <v>83</v>
      </c>
      <c r="B1" s="2"/>
      <c r="M1" s="1" t="s">
        <v>83</v>
      </c>
    </row>
    <row r="2" spans="1:36" x14ac:dyDescent="0.3">
      <c r="A2" s="2" t="s">
        <v>319</v>
      </c>
      <c r="B2" s="2"/>
      <c r="M2" s="1" t="str">
        <f>A2</f>
        <v>Question 4 - Model Solution</v>
      </c>
    </row>
    <row r="3" spans="1:36" ht="18" customHeight="1" x14ac:dyDescent="0.3">
      <c r="A3" s="4"/>
    </row>
    <row r="4" spans="1:36" ht="18.45" customHeight="1" x14ac:dyDescent="0.3">
      <c r="A4" s="2"/>
      <c r="B4" s="172" t="s">
        <v>318</v>
      </c>
      <c r="C4" s="3" t="s">
        <v>317</v>
      </c>
      <c r="M4" s="1" t="s">
        <v>48</v>
      </c>
    </row>
    <row r="5" spans="1:36" ht="18.45" customHeight="1" x14ac:dyDescent="0.3">
      <c r="A5" s="2"/>
      <c r="C5" s="3" t="s">
        <v>316</v>
      </c>
    </row>
    <row r="6" spans="1:36" ht="18.45" customHeight="1" x14ac:dyDescent="0.3">
      <c r="A6" s="2"/>
      <c r="M6" s="1" t="s">
        <v>242</v>
      </c>
      <c r="N6" s="37" t="s">
        <v>315</v>
      </c>
      <c r="O6" s="1"/>
      <c r="P6" s="1"/>
      <c r="Q6" s="1"/>
      <c r="R6" s="5"/>
      <c r="S6" s="1" t="s">
        <v>214</v>
      </c>
      <c r="T6" s="37" t="s">
        <v>314</v>
      </c>
      <c r="X6" s="5"/>
      <c r="Y6" s="1" t="s">
        <v>206</v>
      </c>
      <c r="Z6" s="37" t="s">
        <v>313</v>
      </c>
      <c r="AA6" s="37"/>
      <c r="AB6" s="37"/>
    </row>
    <row r="7" spans="1:36" ht="18.45" customHeight="1" x14ac:dyDescent="0.3">
      <c r="A7" s="2"/>
      <c r="D7" s="207" t="s">
        <v>312</v>
      </c>
      <c r="E7" s="221"/>
      <c r="F7" s="211"/>
      <c r="G7" s="227" t="s">
        <v>311</v>
      </c>
      <c r="H7" s="227"/>
      <c r="I7" s="221"/>
      <c r="J7" s="221"/>
      <c r="K7" s="211"/>
      <c r="N7" s="24" t="s">
        <v>310</v>
      </c>
      <c r="O7" s="226" t="s">
        <v>309</v>
      </c>
      <c r="P7" s="1"/>
      <c r="Q7" s="1"/>
      <c r="R7" s="5"/>
      <c r="X7" s="5"/>
      <c r="Z7" s="1" t="s">
        <v>308</v>
      </c>
    </row>
    <row r="8" spans="1:36" ht="18.45" customHeight="1" x14ac:dyDescent="0.3">
      <c r="A8" s="2"/>
      <c r="D8" s="207" t="s">
        <v>307</v>
      </c>
      <c r="E8" s="221"/>
      <c r="F8" s="211"/>
      <c r="G8" s="221" t="s">
        <v>306</v>
      </c>
      <c r="H8" s="221"/>
      <c r="I8" s="221"/>
      <c r="J8" s="221"/>
      <c r="K8" s="211"/>
      <c r="N8" s="24" t="s">
        <v>305</v>
      </c>
      <c r="O8" s="214">
        <f>2%*F22*F23</f>
        <v>79200</v>
      </c>
      <c r="P8" s="1"/>
      <c r="Q8" s="1"/>
      <c r="R8" s="5"/>
      <c r="U8" s="225" t="s">
        <v>304</v>
      </c>
      <c r="V8" s="24" t="s">
        <v>303</v>
      </c>
      <c r="X8" s="5"/>
    </row>
    <row r="9" spans="1:36" ht="18.45" customHeight="1" x14ac:dyDescent="0.3">
      <c r="A9" s="2"/>
      <c r="D9" s="207" t="s">
        <v>302</v>
      </c>
      <c r="E9" s="221"/>
      <c r="F9" s="211"/>
      <c r="G9" s="221" t="s">
        <v>192</v>
      </c>
      <c r="H9" s="221"/>
      <c r="I9" s="221"/>
      <c r="J9" s="221"/>
      <c r="K9" s="211"/>
      <c r="N9" s="24" t="s">
        <v>301</v>
      </c>
      <c r="O9" s="198">
        <f>O8/12</f>
        <v>6600</v>
      </c>
      <c r="P9" s="1"/>
      <c r="Q9" s="1"/>
      <c r="R9" s="5"/>
      <c r="U9" s="225"/>
      <c r="V9" s="24"/>
      <c r="X9" s="5"/>
      <c r="Z9" s="37" t="s">
        <v>300</v>
      </c>
      <c r="AA9" s="37"/>
      <c r="AB9" s="37"/>
    </row>
    <row r="10" spans="1:36" ht="18.45" customHeight="1" x14ac:dyDescent="0.3">
      <c r="A10" s="2"/>
      <c r="D10" s="207" t="s">
        <v>299</v>
      </c>
      <c r="E10" s="221"/>
      <c r="F10" s="211"/>
      <c r="G10" s="221" t="s">
        <v>190</v>
      </c>
      <c r="H10" s="221"/>
      <c r="I10" s="221"/>
      <c r="J10" s="221"/>
      <c r="K10" s="211"/>
      <c r="N10" s="1"/>
      <c r="O10" s="1"/>
      <c r="P10" s="1"/>
      <c r="Q10" s="1"/>
      <c r="R10" s="5"/>
      <c r="T10" s="37"/>
      <c r="U10" s="224" t="s">
        <v>298</v>
      </c>
      <c r="V10" s="224" t="s">
        <v>297</v>
      </c>
      <c r="X10" s="5"/>
      <c r="Z10" s="37" t="s">
        <v>296</v>
      </c>
      <c r="AA10" s="37" t="s">
        <v>123</v>
      </c>
      <c r="AB10" s="37" t="s">
        <v>295</v>
      </c>
      <c r="AC10" s="37" t="s">
        <v>294</v>
      </c>
      <c r="AD10" s="37" t="s">
        <v>293</v>
      </c>
      <c r="AE10" s="37" t="s">
        <v>292</v>
      </c>
      <c r="AF10" s="37" t="s">
        <v>291</v>
      </c>
      <c r="AG10" s="37" t="s">
        <v>290</v>
      </c>
      <c r="AH10" s="37" t="s">
        <v>159</v>
      </c>
      <c r="AI10" s="37" t="s">
        <v>150</v>
      </c>
    </row>
    <row r="11" spans="1:36" ht="18.45" customHeight="1" x14ac:dyDescent="0.3">
      <c r="A11" s="2"/>
      <c r="D11" s="207" t="s">
        <v>289</v>
      </c>
      <c r="E11" s="221"/>
      <c r="F11" s="211"/>
      <c r="G11" s="221" t="s">
        <v>288</v>
      </c>
      <c r="H11" s="221"/>
      <c r="I11" s="221"/>
      <c r="J11" s="221"/>
      <c r="K11" s="211"/>
      <c r="N11" s="37" t="s">
        <v>287</v>
      </c>
      <c r="O11" s="1"/>
      <c r="P11" s="1"/>
      <c r="Q11" s="1"/>
      <c r="R11" s="5"/>
      <c r="T11" s="24" t="s">
        <v>286</v>
      </c>
      <c r="U11" s="223">
        <f>I31</f>
        <v>2.8500000000000001E-2</v>
      </c>
      <c r="V11" s="220">
        <f>(1+(U11/2))^2-1</f>
        <v>2.8703062500000209E-2</v>
      </c>
      <c r="X11" s="5"/>
      <c r="Z11" s="1">
        <v>55</v>
      </c>
      <c r="AA11" s="1">
        <f>F22</f>
        <v>22</v>
      </c>
      <c r="AB11" s="1">
        <f>AA11+Z11</f>
        <v>77</v>
      </c>
      <c r="AC11" s="198">
        <f>O9</f>
        <v>6600</v>
      </c>
      <c r="AD11" s="1">
        <f>1</f>
        <v>1</v>
      </c>
      <c r="AE11" s="198">
        <f>O16/12</f>
        <v>6887.2283333333335</v>
      </c>
      <c r="AF11" s="214">
        <f>1-IF(AB11&lt;80,(80-AB11)*0.25%*12,0)</f>
        <v>0.91</v>
      </c>
      <c r="AG11" s="214">
        <f>MIN(AC11*AD11,AE11*AF11)</f>
        <v>6267.3777833333334</v>
      </c>
      <c r="AH11" s="213">
        <f>D48</f>
        <v>9.6</v>
      </c>
      <c r="AI11" s="212">
        <f>AH11*12*AG11</f>
        <v>722001.92063999991</v>
      </c>
    </row>
    <row r="12" spans="1:36" ht="18.45" customHeight="1" x14ac:dyDescent="0.3">
      <c r="A12" s="2"/>
      <c r="D12" s="207"/>
      <c r="E12" s="221"/>
      <c r="F12" s="211"/>
      <c r="G12" s="221" t="s">
        <v>285</v>
      </c>
      <c r="H12" s="221"/>
      <c r="I12" s="221"/>
      <c r="J12" s="221"/>
      <c r="K12" s="211"/>
      <c r="N12" s="1" t="s">
        <v>284</v>
      </c>
      <c r="O12" s="1"/>
      <c r="P12" s="1"/>
      <c r="Q12" s="1"/>
      <c r="R12" s="5"/>
      <c r="T12" s="24" t="s">
        <v>283</v>
      </c>
      <c r="U12" s="223">
        <f>I32</f>
        <v>3.1800000000000002E-2</v>
      </c>
      <c r="V12" s="220">
        <f>(1+(U12/2))^2-1</f>
        <v>3.2052810000000154E-2</v>
      </c>
      <c r="X12" s="5"/>
      <c r="Z12" s="1">
        <f>Z11+1</f>
        <v>56</v>
      </c>
      <c r="AA12" s="1">
        <f>AA11</f>
        <v>22</v>
      </c>
      <c r="AB12" s="1">
        <f>AA12+Z12</f>
        <v>78</v>
      </c>
      <c r="AC12" s="198">
        <f>AC11</f>
        <v>6600</v>
      </c>
      <c r="AD12" s="1">
        <v>1</v>
      </c>
      <c r="AE12" s="198">
        <f>AE11</f>
        <v>6887.2283333333335</v>
      </c>
      <c r="AF12" s="214">
        <f>1-IF(AB12&lt;80,(80-AB12)*0.25%*12,0)</f>
        <v>0.94</v>
      </c>
      <c r="AG12" s="214">
        <f>MIN(AC12*AD12,AE12*AF12)</f>
        <v>6473.9946333333328</v>
      </c>
      <c r="AH12" s="213">
        <f>D49</f>
        <v>9.3000000000000007</v>
      </c>
      <c r="AI12" s="212">
        <f>AH12*12*AG12</f>
        <v>722497.80108</v>
      </c>
    </row>
    <row r="13" spans="1:36" ht="18.45" customHeight="1" x14ac:dyDescent="0.3">
      <c r="A13" s="2"/>
      <c r="D13" s="207" t="s">
        <v>282</v>
      </c>
      <c r="E13" s="221"/>
      <c r="F13" s="211"/>
      <c r="G13" s="221" t="s">
        <v>281</v>
      </c>
      <c r="H13" s="221"/>
      <c r="I13" s="221"/>
      <c r="J13" s="221"/>
      <c r="K13" s="211"/>
      <c r="N13" s="1"/>
      <c r="O13" s="1"/>
      <c r="P13" s="1"/>
      <c r="Q13" s="1"/>
      <c r="R13" s="5"/>
      <c r="T13" s="24" t="s">
        <v>280</v>
      </c>
      <c r="U13" s="223">
        <f>I33</f>
        <v>1.3299999999999999E-2</v>
      </c>
      <c r="V13" s="220">
        <f>(1+(U13/2))^2-1</f>
        <v>1.3344222500000003E-2</v>
      </c>
      <c r="X13" s="5"/>
      <c r="Z13" s="1">
        <f>Z12+1</f>
        <v>57</v>
      </c>
      <c r="AA13" s="1">
        <f>AA12</f>
        <v>22</v>
      </c>
      <c r="AB13" s="1">
        <f>AA13+Z13</f>
        <v>79</v>
      </c>
      <c r="AC13" s="198">
        <f>AC12</f>
        <v>6600</v>
      </c>
      <c r="AD13" s="1">
        <v>1</v>
      </c>
      <c r="AE13" s="198">
        <f>AE12</f>
        <v>6887.2283333333335</v>
      </c>
      <c r="AF13" s="214">
        <f>1-IF(AB13&lt;80,(80-AB13)*0.25%*12,0)</f>
        <v>0.97</v>
      </c>
      <c r="AG13" s="214">
        <f>MIN(AC13*AD13,AE13*AF13)</f>
        <v>6600</v>
      </c>
      <c r="AH13" s="213">
        <f>D50</f>
        <v>8.9</v>
      </c>
      <c r="AI13" s="212">
        <f>AH13*12*AG13</f>
        <v>704880.00000000012</v>
      </c>
      <c r="AJ13" s="1" t="s">
        <v>279</v>
      </c>
    </row>
    <row r="14" spans="1:36" ht="18.45" customHeight="1" x14ac:dyDescent="0.3">
      <c r="A14" s="2"/>
      <c r="D14" s="207"/>
      <c r="E14" s="221"/>
      <c r="F14" s="211"/>
      <c r="G14" s="221" t="s">
        <v>278</v>
      </c>
      <c r="H14" s="221"/>
      <c r="I14" s="221"/>
      <c r="J14" s="221"/>
      <c r="K14" s="211"/>
      <c r="N14" s="37" t="s">
        <v>277</v>
      </c>
      <c r="O14" s="1"/>
      <c r="P14" s="1"/>
      <c r="Q14" s="1"/>
      <c r="R14" s="5"/>
      <c r="X14" s="5"/>
      <c r="Z14" s="1">
        <f>Z13+1</f>
        <v>58</v>
      </c>
      <c r="AA14" s="1">
        <f>AA13</f>
        <v>22</v>
      </c>
      <c r="AB14" s="1">
        <f>AA14+Z14</f>
        <v>80</v>
      </c>
      <c r="AC14" s="198">
        <f>AC13</f>
        <v>6600</v>
      </c>
      <c r="AD14" s="1">
        <v>1</v>
      </c>
      <c r="AE14" s="198">
        <f>AE13</f>
        <v>6887.2283333333335</v>
      </c>
      <c r="AF14" s="214">
        <f>1-IF(AB14&lt;80,(80-AB14)*0.25%*12,0)</f>
        <v>1</v>
      </c>
      <c r="AG14" s="214">
        <f>MIN(AC14*AD14,AE14*AF14)</f>
        <v>6600</v>
      </c>
      <c r="AH14" s="213">
        <f>D51</f>
        <v>8.5</v>
      </c>
      <c r="AI14" s="212">
        <f>AH14*12*AG14</f>
        <v>673200</v>
      </c>
    </row>
    <row r="15" spans="1:36" ht="18.45" customHeight="1" x14ac:dyDescent="0.3">
      <c r="A15" s="2"/>
      <c r="D15" s="207" t="s">
        <v>276</v>
      </c>
      <c r="E15" s="221"/>
      <c r="F15" s="211"/>
      <c r="G15" s="221" t="s">
        <v>275</v>
      </c>
      <c r="H15" s="221"/>
      <c r="I15" s="221"/>
      <c r="J15" s="221"/>
      <c r="K15" s="211"/>
      <c r="N15" s="24" t="s">
        <v>238</v>
      </c>
      <c r="O15" s="1" t="s">
        <v>274</v>
      </c>
      <c r="P15" s="1"/>
      <c r="Q15" s="1"/>
      <c r="R15" s="5"/>
      <c r="T15" s="37" t="s">
        <v>273</v>
      </c>
      <c r="X15" s="5"/>
      <c r="Z15" s="1">
        <f>Z14+1</f>
        <v>59</v>
      </c>
      <c r="AA15" s="1">
        <f>AA14</f>
        <v>22</v>
      </c>
      <c r="AB15" s="1">
        <f>AA15+Z15</f>
        <v>81</v>
      </c>
      <c r="AC15" s="198">
        <f>AC14</f>
        <v>6600</v>
      </c>
      <c r="AD15" s="1">
        <v>1</v>
      </c>
      <c r="AE15" s="198">
        <f>AE14</f>
        <v>6887.2283333333335</v>
      </c>
      <c r="AF15" s="214">
        <f>1-IF(AB15&lt;80,(80-AB15)*0.25%*12,0)</f>
        <v>1</v>
      </c>
      <c r="AG15" s="214">
        <f>MIN(AC15*AD15,AE15*AF15)</f>
        <v>6600</v>
      </c>
      <c r="AH15" s="213">
        <f>D52</f>
        <v>8.1999999999999993</v>
      </c>
      <c r="AI15" s="212">
        <f>AH15*12*AG15</f>
        <v>649440</v>
      </c>
    </row>
    <row r="16" spans="1:36" ht="18.45" customHeight="1" x14ac:dyDescent="0.3">
      <c r="A16" s="2"/>
      <c r="D16" s="207" t="s">
        <v>272</v>
      </c>
      <c r="E16" s="221"/>
      <c r="F16" s="211"/>
      <c r="G16" s="222">
        <v>3756.67</v>
      </c>
      <c r="H16" s="222"/>
      <c r="I16" s="221"/>
      <c r="J16" s="221"/>
      <c r="K16" s="211"/>
      <c r="N16" s="24"/>
      <c r="O16" s="198">
        <f>G16*22</f>
        <v>82646.740000000005</v>
      </c>
      <c r="P16" s="1"/>
      <c r="Q16" s="1"/>
      <c r="R16" s="5"/>
      <c r="T16" s="24"/>
      <c r="X16" s="5"/>
      <c r="Z16" s="1">
        <f>Z15+1</f>
        <v>60</v>
      </c>
      <c r="AA16" s="1">
        <f>AA15</f>
        <v>22</v>
      </c>
      <c r="AB16" s="1">
        <f>AA16+Z16</f>
        <v>82</v>
      </c>
      <c r="AC16" s="198">
        <f>AC15</f>
        <v>6600</v>
      </c>
      <c r="AD16" s="1">
        <v>1</v>
      </c>
      <c r="AE16" s="198">
        <f>AE15</f>
        <v>6887.2283333333335</v>
      </c>
      <c r="AF16" s="214">
        <f>1-IF(AB16&lt;80,(80-AB16)*0.25%*12,0)</f>
        <v>1</v>
      </c>
      <c r="AG16" s="214">
        <f>MIN(AC16*AD16,AE16*AF16)</f>
        <v>6600</v>
      </c>
      <c r="AH16" s="213">
        <f>D53</f>
        <v>7.8</v>
      </c>
      <c r="AI16" s="212">
        <f>AH16*12*AG16</f>
        <v>617760</v>
      </c>
    </row>
    <row r="17" spans="1:36" ht="18.45" customHeight="1" x14ac:dyDescent="0.3">
      <c r="A17" s="2"/>
      <c r="T17" s="24" t="s">
        <v>271</v>
      </c>
      <c r="U17" s="1" t="s">
        <v>270</v>
      </c>
      <c r="Z17" s="1">
        <f>Z16+1</f>
        <v>61</v>
      </c>
      <c r="AA17" s="1">
        <f>AA16</f>
        <v>22</v>
      </c>
      <c r="AB17" s="1">
        <f>AA17+Z17</f>
        <v>83</v>
      </c>
      <c r="AC17" s="198">
        <f>AC16</f>
        <v>6600</v>
      </c>
      <c r="AD17" s="1">
        <v>1</v>
      </c>
      <c r="AE17" s="198">
        <f>AE16</f>
        <v>6887.2283333333335</v>
      </c>
      <c r="AF17" s="214">
        <f>1-IF(AB17&lt;80,(80-AB17)*0.25%*12,0)</f>
        <v>1</v>
      </c>
      <c r="AG17" s="214">
        <f>MIN(AC17*AD17,AE17*AF17)</f>
        <v>6600</v>
      </c>
      <c r="AH17" s="213">
        <f>D54</f>
        <v>7.5</v>
      </c>
      <c r="AI17" s="212">
        <f>AH17*12*AG17</f>
        <v>594000</v>
      </c>
    </row>
    <row r="18" spans="1:36" ht="18.45" customHeight="1" x14ac:dyDescent="0.3">
      <c r="A18" s="2"/>
      <c r="D18" s="3" t="s">
        <v>269</v>
      </c>
      <c r="N18" s="24" t="s">
        <v>268</v>
      </c>
      <c r="O18" s="1" t="s">
        <v>267</v>
      </c>
      <c r="P18" s="1"/>
      <c r="Q18" s="1"/>
      <c r="R18" s="5"/>
      <c r="T18" s="24" t="s">
        <v>266</v>
      </c>
      <c r="U18" s="220">
        <f>((1+V13)*(1+V11)/(1+V12))-1</f>
        <v>1.0055197710698183E-2</v>
      </c>
      <c r="X18" s="5"/>
      <c r="Z18" s="1">
        <f>Z17+1</f>
        <v>62</v>
      </c>
      <c r="AA18" s="1">
        <f>AA17</f>
        <v>22</v>
      </c>
      <c r="AB18" s="1">
        <f>AA18+Z18</f>
        <v>84</v>
      </c>
      <c r="AC18" s="198">
        <f>AC17</f>
        <v>6600</v>
      </c>
      <c r="AD18" s="1">
        <v>1</v>
      </c>
      <c r="AE18" s="198">
        <f>AE17</f>
        <v>6887.2283333333335</v>
      </c>
      <c r="AF18" s="214">
        <f>1-IF(AB18&lt;80,(80-AB18)*0.25%*12,0)</f>
        <v>1</v>
      </c>
      <c r="AG18" s="214">
        <f>MIN(AC18*AD18,AE18*AF18)</f>
        <v>6600</v>
      </c>
      <c r="AH18" s="213">
        <f>D55</f>
        <v>7.1</v>
      </c>
      <c r="AI18" s="212">
        <f>AH18*12*AG18</f>
        <v>562319.99999999988</v>
      </c>
    </row>
    <row r="19" spans="1:36" ht="18.45" customHeight="1" x14ac:dyDescent="0.3">
      <c r="A19" s="2"/>
      <c r="D19" s="3" t="s">
        <v>265</v>
      </c>
      <c r="N19" s="219" t="s">
        <v>264</v>
      </c>
      <c r="O19" s="218" t="s">
        <v>263</v>
      </c>
      <c r="P19" s="217" t="s">
        <v>262</v>
      </c>
      <c r="Q19" s="1"/>
      <c r="R19" s="5"/>
      <c r="X19" s="5"/>
      <c r="Z19" s="1">
        <f>Z18+1</f>
        <v>63</v>
      </c>
      <c r="AA19" s="1">
        <f>AA18</f>
        <v>22</v>
      </c>
      <c r="AB19" s="1">
        <f>AA19+Z19</f>
        <v>85</v>
      </c>
      <c r="AC19" s="198">
        <f>AC18</f>
        <v>6600</v>
      </c>
      <c r="AD19" s="1">
        <v>1</v>
      </c>
      <c r="AE19" s="198">
        <f>AE18</f>
        <v>6887.2283333333335</v>
      </c>
      <c r="AF19" s="214">
        <f>1-IF(AB19&lt;80,(80-AB19)*0.25%*12,0)</f>
        <v>1</v>
      </c>
      <c r="AG19" s="214">
        <f>MIN(AC19*AD19,AE19*AF19)</f>
        <v>6600</v>
      </c>
      <c r="AH19" s="213">
        <f>D56</f>
        <v>6.7</v>
      </c>
      <c r="AI19" s="212">
        <f>AH19*12*AG19</f>
        <v>530640</v>
      </c>
    </row>
    <row r="20" spans="1:36" x14ac:dyDescent="0.3">
      <c r="A20" s="2"/>
      <c r="N20" s="216" t="s">
        <v>261</v>
      </c>
      <c r="O20" s="1" t="s">
        <v>255</v>
      </c>
      <c r="P20" s="215">
        <f>(60-55)*0.25%*12</f>
        <v>0.15000000000000002</v>
      </c>
      <c r="Q20" s="1"/>
      <c r="R20" s="5"/>
      <c r="T20" s="37" t="s">
        <v>260</v>
      </c>
      <c r="X20" s="5"/>
      <c r="Z20" s="1">
        <f>Z19+1</f>
        <v>64</v>
      </c>
      <c r="AA20" s="1">
        <f>AA19</f>
        <v>22</v>
      </c>
      <c r="AB20" s="1">
        <f>AA20+Z20</f>
        <v>86</v>
      </c>
      <c r="AC20" s="198">
        <f>AC19</f>
        <v>6600</v>
      </c>
      <c r="AD20" s="1">
        <v>1</v>
      </c>
      <c r="AE20" s="198">
        <f>AE19</f>
        <v>6887.2283333333335</v>
      </c>
      <c r="AF20" s="214">
        <f>1-IF(AB20&lt;80,(80-AB20)*0.25%*12,0)</f>
        <v>1</v>
      </c>
      <c r="AG20" s="214">
        <f>MIN(AC20*AD20,AE20*AF20)</f>
        <v>6600</v>
      </c>
      <c r="AH20" s="213">
        <f>D57</f>
        <v>6.4</v>
      </c>
      <c r="AI20" s="212">
        <f>AH20*12*AG20</f>
        <v>506880.00000000006</v>
      </c>
    </row>
    <row r="21" spans="1:36" x14ac:dyDescent="0.3">
      <c r="D21" s="207" t="s">
        <v>259</v>
      </c>
      <c r="E21" s="206"/>
      <c r="F21" s="211">
        <v>55</v>
      </c>
      <c r="N21" s="216" t="s">
        <v>258</v>
      </c>
      <c r="O21" s="1" t="s">
        <v>255</v>
      </c>
      <c r="P21" s="215">
        <f>(30-22)*12*0.25%</f>
        <v>0.24</v>
      </c>
      <c r="Q21" s="1"/>
      <c r="R21" s="5"/>
      <c r="X21" s="5"/>
      <c r="Z21" s="1">
        <f>Z20+1</f>
        <v>65</v>
      </c>
      <c r="AA21" s="1">
        <f>AA20</f>
        <v>22</v>
      </c>
      <c r="AB21" s="1">
        <f>AA21+Z21</f>
        <v>87</v>
      </c>
      <c r="AC21" s="198">
        <f>AC20</f>
        <v>6600</v>
      </c>
      <c r="AD21" s="1">
        <v>1</v>
      </c>
      <c r="AE21" s="198">
        <f>AE20</f>
        <v>6887.2283333333335</v>
      </c>
      <c r="AF21" s="214">
        <f>1-IF(AB21&lt;80,(80-AB21)*0.25%*12,0)</f>
        <v>1</v>
      </c>
      <c r="AG21" s="214">
        <f>MIN(AC21*AD21,AE21*AF21)</f>
        <v>6600</v>
      </c>
      <c r="AH21" s="213">
        <f>D58</f>
        <v>6</v>
      </c>
      <c r="AI21" s="212">
        <f>AH21*12*AG21</f>
        <v>475200</v>
      </c>
    </row>
    <row r="22" spans="1:36" ht="19.8" x14ac:dyDescent="0.4">
      <c r="D22" s="207" t="s">
        <v>257</v>
      </c>
      <c r="E22" s="206"/>
      <c r="F22" s="211">
        <v>22</v>
      </c>
      <c r="N22" s="210" t="s">
        <v>256</v>
      </c>
      <c r="O22" s="30" t="s">
        <v>255</v>
      </c>
      <c r="P22" s="209">
        <f>(80-55-22)*12*0.25%</f>
        <v>0.09</v>
      </c>
      <c r="Q22" s="208" t="s">
        <v>254</v>
      </c>
      <c r="R22" s="5"/>
      <c r="T22" s="24" t="s">
        <v>253</v>
      </c>
      <c r="U22" s="1" t="s">
        <v>252</v>
      </c>
      <c r="V22" s="24" t="s">
        <v>251</v>
      </c>
      <c r="W22" s="1" t="s">
        <v>250</v>
      </c>
      <c r="X22" s="5"/>
    </row>
    <row r="23" spans="1:36" ht="18" x14ac:dyDescent="0.4">
      <c r="D23" s="207" t="s">
        <v>249</v>
      </c>
      <c r="E23" s="206"/>
      <c r="F23" s="205">
        <v>180000</v>
      </c>
      <c r="N23" s="1"/>
      <c r="O23" s="1"/>
      <c r="P23" s="1"/>
      <c r="Q23" s="1"/>
      <c r="R23" s="5"/>
      <c r="T23" s="38" t="s">
        <v>248</v>
      </c>
      <c r="U23" s="204">
        <f>ROUND(V11+D37,3)</f>
        <v>3.5999999999999997E-2</v>
      </c>
      <c r="V23" s="38" t="s">
        <v>247</v>
      </c>
      <c r="W23" s="204">
        <f>ROUND(V12+0.5*(V12-V11)+D38,3)</f>
        <v>4.4999999999999998E-2</v>
      </c>
      <c r="X23" s="5"/>
      <c r="Z23" s="1" t="s">
        <v>246</v>
      </c>
      <c r="AH23" s="37" t="s">
        <v>245</v>
      </c>
      <c r="AI23" s="203">
        <f>MAX(AI11:AI21)</f>
        <v>722497.80108</v>
      </c>
      <c r="AJ23" s="1" t="s">
        <v>236</v>
      </c>
    </row>
    <row r="24" spans="1:36" x14ac:dyDescent="0.3">
      <c r="B24" s="172"/>
      <c r="M24" s="1" t="s">
        <v>244</v>
      </c>
      <c r="N24" s="1" t="s">
        <v>243</v>
      </c>
      <c r="O24" s="1"/>
      <c r="P24" s="1"/>
      <c r="Q24" s="1"/>
      <c r="R24" s="5"/>
      <c r="X24" s="5"/>
    </row>
    <row r="25" spans="1:36" x14ac:dyDescent="0.3">
      <c r="B25" s="172" t="s">
        <v>242</v>
      </c>
      <c r="C25" s="3" t="s">
        <v>241</v>
      </c>
      <c r="D25" s="3" t="s">
        <v>240</v>
      </c>
      <c r="N25" s="1"/>
      <c r="O25" s="1"/>
      <c r="P25" s="1"/>
      <c r="Q25" s="1"/>
      <c r="R25" s="5"/>
      <c r="X25" s="5"/>
      <c r="Z25" s="37" t="s">
        <v>239</v>
      </c>
      <c r="AA25" s="37"/>
      <c r="AB25" s="37"/>
    </row>
    <row r="26" spans="1:36" ht="15.75" customHeight="1" x14ac:dyDescent="0.3">
      <c r="N26" s="24" t="s">
        <v>238</v>
      </c>
      <c r="O26" s="1" t="s">
        <v>237</v>
      </c>
      <c r="P26" s="1"/>
      <c r="Q26" s="1"/>
      <c r="R26" s="5"/>
      <c r="X26" s="5"/>
      <c r="Z26" s="37"/>
      <c r="AA26" s="37"/>
      <c r="AB26" s="37"/>
    </row>
    <row r="27" spans="1:36" ht="18.75" customHeight="1" x14ac:dyDescent="0.3">
      <c r="N27" s="202" t="s">
        <v>218</v>
      </c>
      <c r="O27" s="198">
        <f>G16*22*(1-P22)</f>
        <v>75208.5334</v>
      </c>
      <c r="P27" s="1"/>
      <c r="Q27" s="1"/>
      <c r="R27" s="5"/>
      <c r="X27" s="5"/>
      <c r="Z27" s="201">
        <v>0.5</v>
      </c>
      <c r="AA27" s="1" t="s">
        <v>236</v>
      </c>
      <c r="AC27" s="200">
        <f>AI12</f>
        <v>722497.80108</v>
      </c>
    </row>
    <row r="28" spans="1:36" ht="18.75" customHeight="1" x14ac:dyDescent="0.3">
      <c r="C28" s="3" t="s">
        <v>235</v>
      </c>
      <c r="N28" s="199" t="s">
        <v>234</v>
      </c>
      <c r="O28" s="198">
        <f>O27/12</f>
        <v>6267.3777833333334</v>
      </c>
      <c r="P28" s="1"/>
      <c r="Q28" s="1"/>
      <c r="R28" s="5"/>
      <c r="X28" s="5"/>
      <c r="Z28" s="197">
        <v>0.5</v>
      </c>
      <c r="AA28" s="30" t="s">
        <v>233</v>
      </c>
      <c r="AB28" s="30"/>
      <c r="AC28" s="32">
        <f>AI13</f>
        <v>704880.00000000012</v>
      </c>
    </row>
    <row r="29" spans="1:36" ht="15.75" customHeight="1" x14ac:dyDescent="0.3">
      <c r="B29" s="172"/>
      <c r="N29" s="1"/>
      <c r="O29" s="1"/>
      <c r="P29" s="1"/>
      <c r="Q29" s="1"/>
      <c r="R29" s="5"/>
      <c r="X29" s="5"/>
      <c r="AA29" s="37" t="s">
        <v>150</v>
      </c>
      <c r="AC29" s="196">
        <f>SUM(AC27:AC28)/2</f>
        <v>713688.90054000006</v>
      </c>
    </row>
    <row r="30" spans="1:36" ht="15.75" customHeight="1" x14ac:dyDescent="0.3">
      <c r="B30" s="172"/>
      <c r="C30" s="195" t="s">
        <v>232</v>
      </c>
      <c r="D30" s="193" t="s">
        <v>231</v>
      </c>
      <c r="E30" s="194"/>
      <c r="F30" s="194"/>
      <c r="G30" s="194"/>
      <c r="H30" s="192"/>
      <c r="I30" s="193" t="s">
        <v>230</v>
      </c>
      <c r="J30" s="192"/>
      <c r="N30" s="37" t="s">
        <v>229</v>
      </c>
      <c r="O30" s="1"/>
      <c r="P30" s="1"/>
      <c r="Q30" s="1"/>
      <c r="R30" s="5"/>
      <c r="X30" s="5"/>
    </row>
    <row r="31" spans="1:36" ht="15.75" customHeight="1" x14ac:dyDescent="0.3">
      <c r="C31" s="189" t="s">
        <v>228</v>
      </c>
      <c r="D31" s="188" t="s">
        <v>227</v>
      </c>
      <c r="E31" s="187"/>
      <c r="F31" s="187"/>
      <c r="G31" s="187"/>
      <c r="H31" s="186"/>
      <c r="I31" s="185">
        <v>2.8500000000000001E-2</v>
      </c>
      <c r="J31" s="184" t="s">
        <v>219</v>
      </c>
      <c r="N31" s="1"/>
      <c r="O31" s="1"/>
      <c r="P31" s="1"/>
      <c r="Q31" s="1"/>
      <c r="R31" s="5"/>
      <c r="X31" s="5"/>
      <c r="Z31" s="191" t="s">
        <v>226</v>
      </c>
      <c r="AA31" s="191"/>
      <c r="AB31" s="191"/>
      <c r="AC31" s="191"/>
    </row>
    <row r="32" spans="1:36" ht="15.75" customHeight="1" x14ac:dyDescent="0.3">
      <c r="C32" s="189" t="s">
        <v>225</v>
      </c>
      <c r="D32" s="188" t="s">
        <v>224</v>
      </c>
      <c r="E32" s="187"/>
      <c r="F32" s="187"/>
      <c r="G32" s="187"/>
      <c r="H32" s="186"/>
      <c r="I32" s="185">
        <v>3.1800000000000002E-2</v>
      </c>
      <c r="J32" s="184" t="s">
        <v>219</v>
      </c>
      <c r="N32" s="37" t="s">
        <v>223</v>
      </c>
      <c r="O32" s="190" t="s">
        <v>222</v>
      </c>
      <c r="P32" s="37"/>
      <c r="Q32" s="1"/>
      <c r="R32" s="5"/>
      <c r="X32" s="5"/>
    </row>
    <row r="33" spans="2:24" x14ac:dyDescent="0.3">
      <c r="C33" s="189" t="s">
        <v>221</v>
      </c>
      <c r="D33" s="188" t="s">
        <v>220</v>
      </c>
      <c r="E33" s="187"/>
      <c r="F33" s="187"/>
      <c r="G33" s="187"/>
      <c r="H33" s="186"/>
      <c r="I33" s="185">
        <v>1.3299999999999999E-2</v>
      </c>
      <c r="J33" s="184" t="s">
        <v>219</v>
      </c>
      <c r="N33" s="183" t="s">
        <v>218</v>
      </c>
      <c r="O33" s="182">
        <f>MIN(O28,O9)</f>
        <v>6267.3777833333334</v>
      </c>
      <c r="P33" s="37"/>
      <c r="Q33" s="1"/>
      <c r="R33" s="5"/>
      <c r="X33" s="5"/>
    </row>
    <row r="34" spans="2:24" x14ac:dyDescent="0.3">
      <c r="D34" s="178"/>
      <c r="E34" s="178"/>
      <c r="F34" s="178"/>
      <c r="G34" s="178"/>
      <c r="H34" s="178"/>
      <c r="N34" s="1"/>
      <c r="O34" s="1"/>
      <c r="P34" s="1"/>
      <c r="Q34" s="1"/>
      <c r="R34" s="5"/>
      <c r="X34" s="5"/>
    </row>
    <row r="35" spans="2:24" x14ac:dyDescent="0.3">
      <c r="C35" s="3" t="s">
        <v>217</v>
      </c>
      <c r="N35" s="1"/>
      <c r="O35" s="1"/>
      <c r="P35" s="1"/>
      <c r="Q35" s="1"/>
      <c r="R35" s="5"/>
      <c r="X35" s="5"/>
    </row>
    <row r="36" spans="2:24" x14ac:dyDescent="0.3">
      <c r="N36" s="1"/>
      <c r="O36" s="1"/>
      <c r="P36" s="1"/>
      <c r="Q36" s="1"/>
      <c r="R36" s="5"/>
      <c r="X36" s="5"/>
    </row>
    <row r="37" spans="2:24" ht="18" x14ac:dyDescent="0.4">
      <c r="C37" s="172" t="s">
        <v>216</v>
      </c>
      <c r="D37" s="181">
        <v>7.3575999999999997E-3</v>
      </c>
      <c r="N37" s="1"/>
      <c r="O37" s="1"/>
      <c r="P37" s="1"/>
      <c r="Q37" s="1"/>
      <c r="R37" s="5"/>
      <c r="X37" s="5"/>
    </row>
    <row r="38" spans="2:24" ht="18" x14ac:dyDescent="0.4">
      <c r="C38" s="172" t="s">
        <v>215</v>
      </c>
      <c r="D38" s="181">
        <v>1.1615199999999999E-2</v>
      </c>
      <c r="N38" s="1"/>
      <c r="O38" s="1"/>
      <c r="P38" s="1"/>
      <c r="Q38" s="1"/>
      <c r="R38" s="5"/>
      <c r="X38" s="5"/>
    </row>
    <row r="39" spans="2:24" x14ac:dyDescent="0.3">
      <c r="N39" s="1"/>
      <c r="O39" s="1"/>
      <c r="P39" s="1"/>
      <c r="Q39" s="1"/>
      <c r="R39" s="5"/>
      <c r="X39" s="5"/>
    </row>
    <row r="40" spans="2:24" x14ac:dyDescent="0.3">
      <c r="B40" s="172" t="s">
        <v>214</v>
      </c>
      <c r="C40" s="3" t="s">
        <v>213</v>
      </c>
      <c r="D40" s="3" t="s">
        <v>212</v>
      </c>
      <c r="N40" s="1"/>
      <c r="O40" s="1"/>
      <c r="P40" s="1"/>
      <c r="Q40" s="1"/>
      <c r="R40" s="5"/>
      <c r="X40" s="5"/>
    </row>
    <row r="41" spans="2:24" x14ac:dyDescent="0.3">
      <c r="C41" s="5"/>
      <c r="D41" s="3" t="s">
        <v>211</v>
      </c>
      <c r="N41" s="1"/>
      <c r="O41" s="1"/>
      <c r="P41" s="1"/>
      <c r="Q41" s="1"/>
      <c r="R41" s="5"/>
      <c r="X41" s="5"/>
    </row>
    <row r="42" spans="2:24" x14ac:dyDescent="0.3">
      <c r="B42" s="180"/>
      <c r="N42" s="1"/>
      <c r="O42" s="1"/>
      <c r="P42" s="1"/>
      <c r="Q42" s="1"/>
      <c r="R42" s="5"/>
      <c r="X42" s="5"/>
    </row>
    <row r="43" spans="2:24" x14ac:dyDescent="0.3">
      <c r="N43" s="1"/>
      <c r="O43" s="1"/>
      <c r="P43" s="1"/>
      <c r="Q43" s="1"/>
      <c r="R43" s="5"/>
      <c r="X43" s="5"/>
    </row>
    <row r="44" spans="2:24" x14ac:dyDescent="0.3">
      <c r="B44" s="179"/>
      <c r="C44" s="3" t="s">
        <v>210</v>
      </c>
      <c r="D44" s="179"/>
      <c r="E44" s="179"/>
      <c r="F44" s="179"/>
      <c r="G44" s="179"/>
      <c r="H44" s="178"/>
      <c r="N44" s="1"/>
      <c r="O44" s="1"/>
      <c r="P44" s="1"/>
      <c r="Q44" s="1"/>
      <c r="R44" s="5"/>
      <c r="X44" s="5"/>
    </row>
    <row r="45" spans="2:24" x14ac:dyDescent="0.3">
      <c r="N45" s="1"/>
      <c r="O45" s="1"/>
      <c r="P45" s="1"/>
      <c r="Q45" s="1"/>
      <c r="R45" s="5"/>
      <c r="X45" s="5"/>
    </row>
    <row r="46" spans="2:24" x14ac:dyDescent="0.3">
      <c r="B46" s="172"/>
      <c r="C46" s="177" t="s">
        <v>209</v>
      </c>
      <c r="N46" s="1"/>
      <c r="O46" s="1"/>
      <c r="P46" s="1"/>
      <c r="Q46" s="1"/>
      <c r="R46" s="5"/>
      <c r="X46" s="5"/>
    </row>
    <row r="47" spans="2:24" ht="46.8" x14ac:dyDescent="0.3">
      <c r="C47" s="176" t="s">
        <v>208</v>
      </c>
      <c r="D47" s="176" t="s">
        <v>207</v>
      </c>
      <c r="N47" s="1"/>
      <c r="O47" s="1"/>
      <c r="P47" s="1"/>
      <c r="Q47" s="1"/>
      <c r="R47" s="5"/>
      <c r="X47" s="5"/>
    </row>
    <row r="48" spans="2:24" x14ac:dyDescent="0.3">
      <c r="C48" s="174">
        <v>55</v>
      </c>
      <c r="D48" s="173">
        <v>9.6</v>
      </c>
      <c r="F48" s="175"/>
      <c r="H48" s="175"/>
      <c r="N48" s="1"/>
      <c r="O48" s="1"/>
      <c r="P48" s="1"/>
      <c r="Q48" s="1"/>
      <c r="R48" s="5"/>
      <c r="X48" s="5"/>
    </row>
    <row r="49" spans="2:24" x14ac:dyDescent="0.3">
      <c r="C49" s="174">
        <f>C48+1</f>
        <v>56</v>
      </c>
      <c r="D49" s="173">
        <v>9.3000000000000007</v>
      </c>
      <c r="F49" s="175"/>
      <c r="H49" s="175"/>
      <c r="N49" s="1"/>
      <c r="O49" s="1"/>
      <c r="P49" s="1"/>
      <c r="Q49" s="1"/>
      <c r="R49" s="5"/>
      <c r="X49" s="5"/>
    </row>
    <row r="50" spans="2:24" x14ac:dyDescent="0.3">
      <c r="C50" s="174">
        <f>C49+1</f>
        <v>57</v>
      </c>
      <c r="D50" s="173">
        <v>8.9</v>
      </c>
      <c r="F50" s="175"/>
      <c r="H50" s="175"/>
      <c r="N50" s="1"/>
      <c r="O50" s="1"/>
      <c r="P50" s="1"/>
      <c r="Q50" s="1"/>
      <c r="R50" s="5"/>
      <c r="X50" s="5"/>
    </row>
    <row r="51" spans="2:24" x14ac:dyDescent="0.3">
      <c r="C51" s="174">
        <f>C50+1</f>
        <v>58</v>
      </c>
      <c r="D51" s="173">
        <v>8.5</v>
      </c>
      <c r="N51" s="1"/>
      <c r="O51" s="1"/>
      <c r="P51" s="1"/>
      <c r="Q51" s="1"/>
      <c r="R51" s="5"/>
      <c r="X51" s="5"/>
    </row>
    <row r="52" spans="2:24" x14ac:dyDescent="0.3">
      <c r="C52" s="174">
        <f>C51+1</f>
        <v>59</v>
      </c>
      <c r="D52" s="173">
        <v>8.1999999999999993</v>
      </c>
      <c r="N52" s="1"/>
      <c r="O52" s="1"/>
      <c r="P52" s="1"/>
      <c r="Q52" s="1"/>
      <c r="R52" s="5"/>
      <c r="X52" s="5"/>
    </row>
    <row r="53" spans="2:24" x14ac:dyDescent="0.3">
      <c r="C53" s="174">
        <f>C52+1</f>
        <v>60</v>
      </c>
      <c r="D53" s="173">
        <v>7.8</v>
      </c>
      <c r="N53" s="1"/>
      <c r="O53" s="1"/>
      <c r="P53" s="1"/>
      <c r="Q53" s="1"/>
      <c r="R53" s="5"/>
      <c r="X53" s="5"/>
    </row>
    <row r="54" spans="2:24" x14ac:dyDescent="0.3">
      <c r="C54" s="174">
        <f>C53+1</f>
        <v>61</v>
      </c>
      <c r="D54" s="173">
        <v>7.5</v>
      </c>
      <c r="N54" s="1"/>
      <c r="O54" s="1"/>
      <c r="P54" s="1"/>
      <c r="Q54" s="1"/>
      <c r="R54" s="5"/>
      <c r="X54" s="5"/>
    </row>
    <row r="55" spans="2:24" x14ac:dyDescent="0.3">
      <c r="C55" s="174">
        <f>C54+1</f>
        <v>62</v>
      </c>
      <c r="D55" s="173">
        <v>7.1</v>
      </c>
      <c r="N55" s="1"/>
      <c r="O55" s="1"/>
      <c r="P55" s="1"/>
      <c r="Q55" s="1"/>
      <c r="R55" s="5"/>
      <c r="X55" s="5"/>
    </row>
    <row r="56" spans="2:24" x14ac:dyDescent="0.3">
      <c r="C56" s="174">
        <f>C55+1</f>
        <v>63</v>
      </c>
      <c r="D56" s="173">
        <v>6.7</v>
      </c>
      <c r="N56" s="1"/>
      <c r="O56" s="1"/>
      <c r="P56" s="1"/>
      <c r="Q56" s="1"/>
      <c r="R56" s="5"/>
      <c r="X56" s="5"/>
    </row>
    <row r="57" spans="2:24" x14ac:dyDescent="0.3">
      <c r="C57" s="174">
        <f>C56+1</f>
        <v>64</v>
      </c>
      <c r="D57" s="173">
        <v>6.4</v>
      </c>
      <c r="N57" s="1"/>
      <c r="O57" s="1"/>
      <c r="P57" s="1"/>
      <c r="Q57" s="1"/>
      <c r="R57" s="5"/>
      <c r="X57" s="5"/>
    </row>
    <row r="58" spans="2:24" x14ac:dyDescent="0.3">
      <c r="C58" s="174">
        <f>C57+1</f>
        <v>65</v>
      </c>
      <c r="D58" s="173">
        <v>6</v>
      </c>
      <c r="N58" s="1"/>
      <c r="O58" s="1"/>
      <c r="P58" s="1"/>
      <c r="Q58" s="1"/>
      <c r="R58" s="5"/>
      <c r="X58" s="5"/>
    </row>
    <row r="59" spans="2:24" x14ac:dyDescent="0.3">
      <c r="N59" s="1"/>
      <c r="O59" s="1"/>
      <c r="P59" s="1"/>
      <c r="Q59" s="1"/>
      <c r="R59" s="5"/>
      <c r="X59" s="5"/>
    </row>
    <row r="60" spans="2:24" x14ac:dyDescent="0.3">
      <c r="B60" s="172" t="s">
        <v>206</v>
      </c>
      <c r="C60" s="3" t="s">
        <v>205</v>
      </c>
      <c r="D60" s="3" t="s">
        <v>204</v>
      </c>
      <c r="N60" s="1"/>
      <c r="O60" s="1"/>
      <c r="P60" s="1"/>
      <c r="Q60" s="1"/>
      <c r="R60" s="5"/>
      <c r="X60" s="5"/>
    </row>
    <row r="61" spans="2:24" x14ac:dyDescent="0.3">
      <c r="N61" s="1"/>
      <c r="O61" s="1"/>
      <c r="P61" s="1"/>
      <c r="Q61" s="1"/>
      <c r="R61" s="5"/>
      <c r="X61" s="5"/>
    </row>
    <row r="62" spans="2:24" x14ac:dyDescent="0.3">
      <c r="N62" s="1"/>
      <c r="O62" s="1"/>
      <c r="P62" s="1"/>
      <c r="Q62" s="1"/>
      <c r="R62" s="5"/>
      <c r="X62" s="5"/>
    </row>
    <row r="63" spans="2:24" x14ac:dyDescent="0.3">
      <c r="N63" s="1"/>
      <c r="O63" s="1"/>
      <c r="P63" s="1"/>
      <c r="Q63" s="1"/>
      <c r="R63" s="5"/>
      <c r="X63" s="5"/>
    </row>
    <row r="64" spans="2:24" x14ac:dyDescent="0.3">
      <c r="N64" s="1"/>
      <c r="O64" s="1"/>
      <c r="P64" s="1"/>
      <c r="Q64" s="1"/>
      <c r="R64" s="5"/>
      <c r="X64" s="5"/>
    </row>
  </sheetData>
  <mergeCells count="6">
    <mergeCell ref="D33:H33"/>
    <mergeCell ref="G16:H16"/>
    <mergeCell ref="D30:H30"/>
    <mergeCell ref="I30:J30"/>
    <mergeCell ref="D31:H31"/>
    <mergeCell ref="D32:H3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76569-A59C-4BBF-95AE-F6F86929907C}">
  <sheetPr published="0"/>
  <dimension ref="A1:N54"/>
  <sheetViews>
    <sheetView tabSelected="1" workbookViewId="0"/>
  </sheetViews>
  <sheetFormatPr defaultRowHeight="13.2" x14ac:dyDescent="0.25"/>
  <cols>
    <col min="1" max="1" width="4.21875" style="228" customWidth="1"/>
    <col min="2" max="2" width="13.5546875" style="228" customWidth="1"/>
    <col min="3" max="3" width="37.77734375" style="228" customWidth="1"/>
    <col min="4" max="4" width="28.77734375" style="228" customWidth="1"/>
    <col min="5" max="5" width="26.44140625" style="228" customWidth="1"/>
    <col min="6" max="6" width="26.77734375" style="228" customWidth="1"/>
    <col min="7" max="7" width="27" style="228" customWidth="1"/>
    <col min="8" max="8" width="4.88671875" style="228" customWidth="1"/>
    <col min="9" max="9" width="8.88671875" style="228"/>
    <col min="10" max="10" width="55.44140625" style="228" customWidth="1"/>
    <col min="11" max="11" width="28.44140625" style="228" customWidth="1"/>
    <col min="12" max="12" width="12.21875" style="228" customWidth="1"/>
    <col min="13" max="13" width="16.77734375" style="228" customWidth="1"/>
    <col min="14" max="14" width="19.77734375" style="228" customWidth="1"/>
    <col min="15" max="16384" width="8.88671875" style="228"/>
  </cols>
  <sheetData>
    <row r="1" spans="1:14" ht="15.6" x14ac:dyDescent="0.3">
      <c r="A1" s="303" t="s">
        <v>83</v>
      </c>
      <c r="B1" s="303"/>
      <c r="C1" s="231"/>
      <c r="D1" s="231"/>
      <c r="E1" s="270"/>
      <c r="F1" s="270"/>
      <c r="G1" s="270"/>
      <c r="H1" s="270"/>
      <c r="J1" s="297" t="str">
        <f>A1</f>
        <v>EXAM RET301 - session March 2026</v>
      </c>
    </row>
    <row r="2" spans="1:14" ht="15.6" x14ac:dyDescent="0.3">
      <c r="A2" s="303" t="s">
        <v>356</v>
      </c>
      <c r="B2" s="303"/>
      <c r="C2" s="231"/>
      <c r="D2" s="231"/>
      <c r="E2" s="270"/>
      <c r="F2" s="270"/>
      <c r="G2" s="270"/>
      <c r="H2" s="270"/>
      <c r="J2" s="297" t="str">
        <f>A2</f>
        <v>Question 5 - Model Solution</v>
      </c>
    </row>
    <row r="3" spans="1:14" ht="15.6" x14ac:dyDescent="0.3">
      <c r="A3" s="303"/>
      <c r="B3" s="302"/>
      <c r="C3" s="270"/>
      <c r="D3" s="270"/>
      <c r="E3" s="270"/>
      <c r="F3" s="270"/>
      <c r="G3" s="270"/>
      <c r="H3" s="270"/>
      <c r="J3" s="297"/>
    </row>
    <row r="4" spans="1:14" ht="15.6" x14ac:dyDescent="0.3">
      <c r="A4" s="270"/>
      <c r="B4" s="266"/>
      <c r="C4" s="266"/>
      <c r="D4" s="266"/>
      <c r="E4" s="266"/>
      <c r="F4" s="266"/>
      <c r="G4" s="266"/>
      <c r="H4" s="266"/>
      <c r="J4" s="297" t="s">
        <v>355</v>
      </c>
    </row>
    <row r="5" spans="1:14" ht="16.2" thickBot="1" x14ac:dyDescent="0.35">
      <c r="A5" s="245" t="s">
        <v>0</v>
      </c>
      <c r="B5" s="244" t="s">
        <v>354</v>
      </c>
      <c r="C5" s="242" t="s">
        <v>353</v>
      </c>
      <c r="D5" s="266"/>
      <c r="E5" s="266"/>
      <c r="F5" s="266"/>
      <c r="G5" s="266"/>
      <c r="H5" s="266"/>
      <c r="J5" s="297"/>
      <c r="K5" s="297"/>
      <c r="L5" s="297"/>
      <c r="M5" s="297"/>
      <c r="N5" s="297"/>
    </row>
    <row r="6" spans="1:14" ht="15.6" x14ac:dyDescent="0.3">
      <c r="A6" s="245"/>
      <c r="B6" s="244"/>
      <c r="C6" s="301"/>
      <c r="D6" s="266"/>
      <c r="E6" s="266"/>
      <c r="F6" s="266"/>
      <c r="G6" s="266"/>
      <c r="H6" s="266"/>
      <c r="J6" s="300" t="s">
        <v>352</v>
      </c>
      <c r="K6" s="299">
        <v>2025</v>
      </c>
      <c r="L6" s="299">
        <v>2026</v>
      </c>
      <c r="M6" s="299">
        <v>2027</v>
      </c>
      <c r="N6" s="298"/>
    </row>
    <row r="7" spans="1:14" ht="15.6" x14ac:dyDescent="0.3">
      <c r="A7" s="245"/>
      <c r="B7" s="244"/>
      <c r="C7" s="240" t="s">
        <v>333</v>
      </c>
      <c r="D7" s="239"/>
      <c r="E7" s="239"/>
      <c r="F7" s="239"/>
      <c r="G7" s="238"/>
      <c r="H7" s="266"/>
      <c r="J7" s="287"/>
      <c r="K7" s="297"/>
      <c r="L7" s="284"/>
      <c r="M7" s="284"/>
      <c r="N7" s="286"/>
    </row>
    <row r="8" spans="1:14" ht="15.6" x14ac:dyDescent="0.3">
      <c r="A8" s="270"/>
      <c r="B8" s="269"/>
      <c r="C8" s="235"/>
      <c r="D8" s="234"/>
      <c r="E8" s="234"/>
      <c r="F8" s="234"/>
      <c r="G8" s="233"/>
      <c r="H8" s="266"/>
      <c r="J8" s="287" t="s">
        <v>351</v>
      </c>
      <c r="K8" s="292">
        <f>D40/(1+$D$35)^(D39-$D$39+0.5)</f>
        <v>10038354.893793454</v>
      </c>
      <c r="L8" s="292">
        <f>E40/(1+$D$35)^(E39-$D$39+0.5)</f>
        <v>10180120.108628521</v>
      </c>
      <c r="M8" s="292">
        <f>F40/(1+$D$35)^(F39-$D$39+0.5)</f>
        <v>9078250.2653610595</v>
      </c>
      <c r="N8" s="296"/>
    </row>
    <row r="9" spans="1:14" ht="15.6" x14ac:dyDescent="0.3">
      <c r="A9" s="270"/>
      <c r="B9" s="269"/>
      <c r="C9" s="268"/>
      <c r="D9" s="266"/>
      <c r="E9" s="266"/>
      <c r="F9" s="266"/>
      <c r="G9" s="266"/>
      <c r="H9" s="266"/>
      <c r="J9" s="287"/>
      <c r="K9" s="277"/>
      <c r="L9" s="277"/>
      <c r="M9" s="277"/>
      <c r="N9" s="281"/>
    </row>
    <row r="10" spans="1:14" ht="15.6" x14ac:dyDescent="0.3">
      <c r="A10" s="270"/>
      <c r="B10" s="269"/>
      <c r="C10" s="268" t="s">
        <v>350</v>
      </c>
      <c r="D10" s="266"/>
      <c r="E10" s="266"/>
      <c r="F10" s="266"/>
      <c r="G10" s="266"/>
      <c r="H10" s="266"/>
      <c r="J10" s="287"/>
      <c r="K10" s="295">
        <v>45658</v>
      </c>
      <c r="L10" s="295">
        <v>46023</v>
      </c>
      <c r="M10" s="295">
        <v>46388</v>
      </c>
      <c r="N10" s="294">
        <v>46753</v>
      </c>
    </row>
    <row r="11" spans="1:14" ht="15.6" x14ac:dyDescent="0.3">
      <c r="A11" s="270"/>
      <c r="B11" s="269"/>
      <c r="C11" s="268"/>
      <c r="D11" s="266"/>
      <c r="E11" s="266"/>
      <c r="F11" s="266"/>
      <c r="G11" s="266"/>
      <c r="H11" s="266"/>
      <c r="J11" s="293" t="s">
        <v>349</v>
      </c>
      <c r="K11" s="292">
        <f>(D43)/((1+$D36)^((D$42)-($D$42)))</f>
        <v>31156000</v>
      </c>
      <c r="L11" s="292">
        <f>(E43)/((1+$D36)^((E$42)-($D$42)))</f>
        <v>29424880.38277512</v>
      </c>
      <c r="M11" s="292">
        <f>(F43)/((1+$D36)^((F$42)-($D$42)))</f>
        <v>26481078.729882561</v>
      </c>
      <c r="N11" s="291">
        <f>(G43)/((1+$D36)^((G$42)-($D$42)))</f>
        <v>23727483.147994779</v>
      </c>
    </row>
    <row r="12" spans="1:14" ht="15.6" x14ac:dyDescent="0.3">
      <c r="A12" s="270"/>
      <c r="B12" s="269"/>
      <c r="C12" s="268" t="s">
        <v>348</v>
      </c>
      <c r="D12" s="266"/>
      <c r="E12" s="266"/>
      <c r="F12" s="266"/>
      <c r="G12" s="266"/>
      <c r="H12" s="266"/>
      <c r="J12" s="293" t="s">
        <v>347</v>
      </c>
      <c r="K12" s="292">
        <f>(D44)/((1+$D37)^((D$42)-($D$42)))</f>
        <v>186575000</v>
      </c>
      <c r="L12" s="292">
        <f>(E44)/((1+$D37)^((E$42)-($D$42)))</f>
        <v>189739961.7590822</v>
      </c>
      <c r="M12" s="292">
        <f>(F44)/((1+$D37)^((F$42)-($D$42)))</f>
        <v>189523779.92827085</v>
      </c>
      <c r="N12" s="291">
        <f>(G44)/((1+$D37)^((G$42)-($D$42)))</f>
        <v>191470045.01401538</v>
      </c>
    </row>
    <row r="13" spans="1:14" ht="15.6" x14ac:dyDescent="0.3">
      <c r="A13" s="270"/>
      <c r="B13" s="269"/>
      <c r="C13" s="268" t="s">
        <v>346</v>
      </c>
      <c r="D13" s="259"/>
      <c r="E13" s="259"/>
      <c r="F13" s="259"/>
      <c r="G13" s="259"/>
      <c r="H13" s="259"/>
      <c r="J13" s="287"/>
      <c r="K13" s="277"/>
      <c r="L13" s="290"/>
      <c r="M13" s="289"/>
      <c r="N13" s="288"/>
    </row>
    <row r="14" spans="1:14" ht="15.6" x14ac:dyDescent="0.3">
      <c r="A14" s="270"/>
      <c r="B14" s="269"/>
      <c r="C14" s="268" t="s">
        <v>345</v>
      </c>
      <c r="D14" s="259"/>
      <c r="E14" s="259"/>
      <c r="F14" s="259"/>
      <c r="G14" s="259"/>
      <c r="H14" s="259"/>
      <c r="J14" s="287"/>
      <c r="K14" s="277"/>
      <c r="L14" s="284"/>
      <c r="M14" s="284"/>
      <c r="N14" s="286"/>
    </row>
    <row r="15" spans="1:14" ht="16.5" customHeight="1" x14ac:dyDescent="0.3">
      <c r="A15" s="270"/>
      <c r="B15" s="269"/>
      <c r="C15" s="285" t="s">
        <v>344</v>
      </c>
      <c r="D15" s="285"/>
      <c r="E15" s="285"/>
      <c r="F15" s="285"/>
      <c r="G15" s="285"/>
      <c r="H15" s="285"/>
      <c r="J15" s="280" t="s">
        <v>343</v>
      </c>
      <c r="K15" s="277"/>
      <c r="L15" s="284"/>
      <c r="M15" s="277"/>
      <c r="N15" s="276">
        <f>SUM(K8:M8)</f>
        <v>29296725.267783035</v>
      </c>
    </row>
    <row r="16" spans="1:14" ht="16.5" customHeight="1" x14ac:dyDescent="0.3">
      <c r="A16" s="270"/>
      <c r="B16" s="269"/>
      <c r="C16" s="285"/>
      <c r="D16" s="285"/>
      <c r="E16" s="285"/>
      <c r="F16" s="285"/>
      <c r="G16" s="285"/>
      <c r="H16" s="285"/>
      <c r="J16" s="280" t="s">
        <v>342</v>
      </c>
      <c r="K16" s="277"/>
      <c r="L16" s="284"/>
      <c r="M16" s="277"/>
      <c r="N16" s="276">
        <f>N11+N12</f>
        <v>215197528.16201016</v>
      </c>
    </row>
    <row r="17" spans="1:14" ht="15.6" x14ac:dyDescent="0.3">
      <c r="A17" s="270"/>
      <c r="B17" s="269"/>
      <c r="C17" s="268" t="s">
        <v>341</v>
      </c>
      <c r="D17" s="259"/>
      <c r="E17" s="259"/>
      <c r="F17" s="259"/>
      <c r="G17" s="259"/>
      <c r="H17" s="259"/>
      <c r="J17" s="283" t="s">
        <v>340</v>
      </c>
      <c r="K17" s="277"/>
      <c r="L17" s="282"/>
      <c r="M17" s="277"/>
      <c r="N17" s="281"/>
    </row>
    <row r="18" spans="1:14" ht="15.6" x14ac:dyDescent="0.3">
      <c r="A18" s="270"/>
      <c r="B18" s="269"/>
      <c r="C18" s="268"/>
      <c r="D18" s="266"/>
      <c r="E18" s="266"/>
      <c r="F18" s="266"/>
      <c r="G18" s="266"/>
      <c r="H18" s="266"/>
      <c r="J18" s="280" t="s">
        <v>339</v>
      </c>
      <c r="K18" s="277"/>
      <c r="L18" s="278"/>
      <c r="M18" s="277"/>
      <c r="N18" s="276">
        <f>-K11-K12</f>
        <v>-217731000</v>
      </c>
    </row>
    <row r="19" spans="1:14" ht="15.6" x14ac:dyDescent="0.3">
      <c r="A19" s="245" t="s">
        <v>1</v>
      </c>
      <c r="B19" s="244" t="s">
        <v>338</v>
      </c>
      <c r="C19" s="242" t="s">
        <v>337</v>
      </c>
      <c r="D19" s="266"/>
      <c r="E19" s="266"/>
      <c r="F19" s="266"/>
      <c r="G19" s="266"/>
      <c r="H19" s="266"/>
      <c r="J19" s="279" t="s">
        <v>336</v>
      </c>
      <c r="K19" s="277"/>
      <c r="L19" s="278"/>
      <c r="M19" s="277"/>
      <c r="N19" s="276">
        <f>SUM(N15:N18)</f>
        <v>26763253.429793209</v>
      </c>
    </row>
    <row r="20" spans="1:14" ht="16.2" thickBot="1" x14ac:dyDescent="0.35">
      <c r="A20" s="270"/>
      <c r="B20" s="269"/>
      <c r="C20" s="268"/>
      <c r="D20" s="266"/>
      <c r="E20" s="266"/>
      <c r="F20" s="266"/>
      <c r="G20" s="266"/>
      <c r="H20" s="266"/>
      <c r="J20" s="275"/>
      <c r="K20" s="274"/>
      <c r="L20" s="273"/>
      <c r="M20" s="272"/>
      <c r="N20" s="271"/>
    </row>
    <row r="21" spans="1:14" ht="15.6" x14ac:dyDescent="0.3">
      <c r="A21" s="270"/>
      <c r="B21" s="269"/>
      <c r="C21" s="268"/>
      <c r="D21" s="266"/>
      <c r="E21" s="266"/>
      <c r="F21" s="266"/>
      <c r="G21" s="266"/>
      <c r="H21" s="266"/>
    </row>
    <row r="22" spans="1:14" ht="15.6" x14ac:dyDescent="0.3">
      <c r="A22" s="270"/>
      <c r="B22" s="269"/>
      <c r="C22" s="240" t="s">
        <v>333</v>
      </c>
      <c r="D22" s="239"/>
      <c r="E22" s="239"/>
      <c r="F22" s="239"/>
      <c r="G22" s="238"/>
      <c r="H22" s="266"/>
    </row>
    <row r="23" spans="1:14" ht="15.6" x14ac:dyDescent="0.3">
      <c r="A23" s="270"/>
      <c r="B23" s="269"/>
      <c r="C23" s="235"/>
      <c r="D23" s="234"/>
      <c r="E23" s="234"/>
      <c r="F23" s="234"/>
      <c r="G23" s="233"/>
      <c r="H23" s="266"/>
    </row>
    <row r="24" spans="1:14" ht="15.6" x14ac:dyDescent="0.3">
      <c r="A24" s="270"/>
      <c r="B24" s="269"/>
      <c r="C24" s="268"/>
      <c r="D24" s="266"/>
      <c r="E24" s="266"/>
      <c r="F24" s="266"/>
      <c r="G24" s="266"/>
      <c r="H24" s="266"/>
    </row>
    <row r="25" spans="1:14" ht="15.6" x14ac:dyDescent="0.3">
      <c r="A25" s="237"/>
      <c r="B25" s="236"/>
      <c r="C25" s="242"/>
      <c r="D25" s="241"/>
      <c r="E25" s="241"/>
      <c r="F25" s="241"/>
      <c r="G25" s="241"/>
      <c r="H25" s="266"/>
    </row>
    <row r="26" spans="1:14" ht="15.6" x14ac:dyDescent="0.3">
      <c r="A26" s="245" t="s">
        <v>335</v>
      </c>
      <c r="B26" s="244" t="s">
        <v>32</v>
      </c>
      <c r="C26" s="242" t="s">
        <v>334</v>
      </c>
      <c r="D26" s="241"/>
      <c r="E26" s="241"/>
      <c r="F26" s="241"/>
      <c r="G26" s="241"/>
      <c r="H26" s="266"/>
    </row>
    <row r="27" spans="1:14" ht="15.6" x14ac:dyDescent="0.3">
      <c r="A27" s="237"/>
      <c r="B27" s="236"/>
      <c r="C27" s="242"/>
      <c r="D27" s="241"/>
      <c r="E27" s="241"/>
      <c r="F27" s="241"/>
      <c r="G27" s="241"/>
      <c r="H27" s="266"/>
    </row>
    <row r="28" spans="1:14" ht="15.6" x14ac:dyDescent="0.3">
      <c r="A28" s="237"/>
      <c r="B28" s="236"/>
      <c r="C28" s="240" t="s">
        <v>333</v>
      </c>
      <c r="D28" s="239"/>
      <c r="E28" s="239"/>
      <c r="F28" s="239"/>
      <c r="G28" s="238"/>
      <c r="H28" s="266"/>
    </row>
    <row r="29" spans="1:14" ht="15.6" x14ac:dyDescent="0.3">
      <c r="A29" s="237"/>
      <c r="B29" s="236"/>
      <c r="C29" s="235"/>
      <c r="D29" s="234"/>
      <c r="E29" s="234"/>
      <c r="F29" s="234"/>
      <c r="G29" s="233"/>
      <c r="H29" s="266"/>
    </row>
    <row r="30" spans="1:14" ht="15.6" x14ac:dyDescent="0.3">
      <c r="A30" s="267"/>
      <c r="B30" s="241"/>
      <c r="C30" s="241"/>
      <c r="D30" s="241"/>
      <c r="E30" s="241"/>
      <c r="F30" s="241"/>
      <c r="G30" s="241"/>
      <c r="H30" s="266"/>
    </row>
    <row r="31" spans="1:14" ht="15.6" x14ac:dyDescent="0.3">
      <c r="A31" s="265"/>
      <c r="B31" s="259"/>
      <c r="C31" s="259"/>
      <c r="D31" s="259"/>
      <c r="E31" s="259"/>
      <c r="F31" s="259"/>
      <c r="G31" s="259"/>
      <c r="H31" s="259"/>
    </row>
    <row r="32" spans="1:14" ht="15.6" x14ac:dyDescent="0.3">
      <c r="A32" s="265"/>
      <c r="B32" s="259"/>
      <c r="C32" s="252" t="s">
        <v>332</v>
      </c>
      <c r="D32" s="251"/>
      <c r="E32" s="251"/>
      <c r="F32" s="251"/>
      <c r="G32" s="251"/>
      <c r="H32" s="259"/>
    </row>
    <row r="33" spans="1:8" ht="15.6" x14ac:dyDescent="0.3">
      <c r="A33" s="265"/>
      <c r="B33" s="259"/>
      <c r="C33" s="249" t="s">
        <v>331</v>
      </c>
      <c r="D33" s="264">
        <v>45658</v>
      </c>
      <c r="E33" s="263"/>
      <c r="F33" s="251"/>
      <c r="G33" s="262"/>
      <c r="H33" s="259"/>
    </row>
    <row r="34" spans="1:8" ht="15.6" x14ac:dyDescent="0.3">
      <c r="A34" s="265"/>
      <c r="B34" s="259"/>
      <c r="C34" s="249" t="s">
        <v>330</v>
      </c>
      <c r="D34" s="264">
        <v>46753</v>
      </c>
      <c r="E34" s="263"/>
      <c r="F34" s="251"/>
      <c r="G34" s="262"/>
      <c r="H34" s="259"/>
    </row>
    <row r="35" spans="1:8" ht="15.6" x14ac:dyDescent="0.3">
      <c r="A35" s="261"/>
      <c r="B35" s="261"/>
      <c r="C35" s="249" t="s">
        <v>329</v>
      </c>
      <c r="D35" s="258">
        <v>4.7500000000000001E-2</v>
      </c>
      <c r="E35" s="260"/>
      <c r="F35" s="260"/>
      <c r="G35" s="251"/>
      <c r="H35" s="259"/>
    </row>
    <row r="36" spans="1:8" x14ac:dyDescent="0.25">
      <c r="A36" s="243"/>
      <c r="B36" s="243"/>
      <c r="C36" s="249" t="s">
        <v>328</v>
      </c>
      <c r="D36" s="258">
        <v>4.4999999999999998E-2</v>
      </c>
      <c r="E36" s="256"/>
      <c r="F36" s="251"/>
      <c r="G36" s="251"/>
      <c r="H36" s="243"/>
    </row>
    <row r="37" spans="1:8" x14ac:dyDescent="0.25">
      <c r="A37" s="243"/>
      <c r="B37" s="243"/>
      <c r="C37" s="249" t="s">
        <v>327</v>
      </c>
      <c r="D37" s="258">
        <v>4.5999999999999999E-2</v>
      </c>
      <c r="E37" s="256"/>
      <c r="F37" s="251"/>
      <c r="G37" s="251"/>
      <c r="H37" s="243"/>
    </row>
    <row r="38" spans="1:8" x14ac:dyDescent="0.25">
      <c r="A38" s="243"/>
      <c r="B38" s="243"/>
      <c r="C38" s="252"/>
      <c r="D38" s="257"/>
      <c r="E38" s="256"/>
      <c r="F38" s="251"/>
      <c r="G38" s="251"/>
      <c r="H38" s="243"/>
    </row>
    <row r="39" spans="1:8" x14ac:dyDescent="0.25">
      <c r="A39" s="243"/>
      <c r="B39" s="243"/>
      <c r="C39" s="255"/>
      <c r="D39" s="254">
        <v>2025</v>
      </c>
      <c r="E39" s="254">
        <f>D39+1</f>
        <v>2026</v>
      </c>
      <c r="F39" s="254">
        <f>E39+1</f>
        <v>2027</v>
      </c>
      <c r="G39" s="253"/>
      <c r="H39" s="243"/>
    </row>
    <row r="40" spans="1:8" x14ac:dyDescent="0.25">
      <c r="A40" s="243"/>
      <c r="B40" s="243"/>
      <c r="C40" s="249" t="s">
        <v>326</v>
      </c>
      <c r="D40" s="246">
        <v>10274000</v>
      </c>
      <c r="E40" s="246">
        <v>10914000</v>
      </c>
      <c r="F40" s="246">
        <v>10195000</v>
      </c>
      <c r="G40" s="252"/>
      <c r="H40" s="243"/>
    </row>
    <row r="41" spans="1:8" x14ac:dyDescent="0.25">
      <c r="A41" s="243"/>
      <c r="B41" s="243"/>
      <c r="C41" s="252"/>
      <c r="D41" s="251"/>
      <c r="E41" s="251"/>
      <c r="F41" s="251"/>
      <c r="G41" s="250"/>
      <c r="H41" s="243"/>
    </row>
    <row r="42" spans="1:8" x14ac:dyDescent="0.25">
      <c r="A42" s="243"/>
      <c r="B42" s="243"/>
      <c r="C42" s="249"/>
      <c r="D42" s="248">
        <v>2025</v>
      </c>
      <c r="E42" s="248">
        <f>D42+1</f>
        <v>2026</v>
      </c>
      <c r="F42" s="248">
        <f>E42+1</f>
        <v>2027</v>
      </c>
      <c r="G42" s="248">
        <f>F42+1</f>
        <v>2028</v>
      </c>
      <c r="H42" s="243"/>
    </row>
    <row r="43" spans="1:8" ht="26.4" x14ac:dyDescent="0.25">
      <c r="A43" s="243"/>
      <c r="B43" s="243"/>
      <c r="C43" s="247" t="s">
        <v>325</v>
      </c>
      <c r="D43" s="246">
        <v>31156000</v>
      </c>
      <c r="E43" s="246">
        <v>30749000</v>
      </c>
      <c r="F43" s="246">
        <v>28918000</v>
      </c>
      <c r="G43" s="246">
        <v>27077000</v>
      </c>
      <c r="H43" s="243"/>
    </row>
    <row r="44" spans="1:8" ht="26.4" x14ac:dyDescent="0.25">
      <c r="A44" s="243"/>
      <c r="B44" s="243"/>
      <c r="C44" s="247" t="s">
        <v>324</v>
      </c>
      <c r="D44" s="246">
        <v>186575000</v>
      </c>
      <c r="E44" s="246">
        <v>198468000</v>
      </c>
      <c r="F44" s="246">
        <v>207361000</v>
      </c>
      <c r="G44" s="246">
        <v>219127000</v>
      </c>
      <c r="H44" s="243"/>
    </row>
    <row r="45" spans="1:8" x14ac:dyDescent="0.25">
      <c r="A45" s="243"/>
      <c r="B45" s="243"/>
      <c r="C45" s="243"/>
      <c r="D45" s="243"/>
      <c r="E45" s="243"/>
      <c r="F45" s="243"/>
      <c r="G45" s="243"/>
      <c r="H45" s="243"/>
    </row>
    <row r="46" spans="1:8" x14ac:dyDescent="0.25">
      <c r="A46" s="243"/>
      <c r="B46" s="243"/>
      <c r="C46" s="243"/>
      <c r="D46" s="243"/>
      <c r="E46" s="243"/>
      <c r="F46" s="243"/>
      <c r="G46" s="243"/>
      <c r="H46" s="243"/>
    </row>
    <row r="47" spans="1:8" ht="15.6" x14ac:dyDescent="0.3">
      <c r="A47" s="245" t="s">
        <v>323</v>
      </c>
      <c r="B47" s="244" t="s">
        <v>32</v>
      </c>
      <c r="C47" s="242" t="s">
        <v>322</v>
      </c>
      <c r="D47" s="241"/>
      <c r="E47" s="241"/>
      <c r="F47" s="241"/>
      <c r="G47" s="241"/>
      <c r="H47" s="243"/>
    </row>
    <row r="48" spans="1:8" ht="15.6" x14ac:dyDescent="0.3">
      <c r="A48" s="237"/>
      <c r="B48" s="236"/>
      <c r="C48" s="242"/>
      <c r="D48" s="241"/>
      <c r="E48" s="241"/>
      <c r="F48" s="241"/>
      <c r="G48" s="241"/>
      <c r="H48" s="229"/>
    </row>
    <row r="49" spans="1:8" ht="15.6" x14ac:dyDescent="0.3">
      <c r="A49" s="237"/>
      <c r="B49" s="236"/>
      <c r="C49" s="240" t="s">
        <v>321</v>
      </c>
      <c r="D49" s="239"/>
      <c r="E49" s="239"/>
      <c r="F49" s="239"/>
      <c r="G49" s="238"/>
      <c r="H49" s="229"/>
    </row>
    <row r="50" spans="1:8" ht="15.6" x14ac:dyDescent="0.3">
      <c r="A50" s="237"/>
      <c r="B50" s="236"/>
      <c r="C50" s="235"/>
      <c r="D50" s="234"/>
      <c r="E50" s="234"/>
      <c r="F50" s="234"/>
      <c r="G50" s="233"/>
      <c r="H50" s="229"/>
    </row>
    <row r="51" spans="1:8" x14ac:dyDescent="0.25">
      <c r="A51" s="229"/>
      <c r="B51" s="229"/>
      <c r="C51" s="229"/>
      <c r="D51" s="229"/>
      <c r="E51" s="229"/>
      <c r="F51" s="229"/>
      <c r="G51" s="229"/>
      <c r="H51" s="229"/>
    </row>
    <row r="52" spans="1:8" ht="15.6" x14ac:dyDescent="0.3">
      <c r="A52" s="229"/>
      <c r="B52" s="229"/>
      <c r="C52" s="232"/>
      <c r="D52" s="231"/>
      <c r="E52" s="231"/>
      <c r="F52" s="229"/>
      <c r="G52" s="229"/>
      <c r="H52" s="229"/>
    </row>
    <row r="53" spans="1:8" ht="15.6" x14ac:dyDescent="0.3">
      <c r="A53" s="229"/>
      <c r="B53" s="229"/>
      <c r="C53" s="231" t="s">
        <v>320</v>
      </c>
      <c r="D53" s="231"/>
      <c r="E53" s="230">
        <f>N19</f>
        <v>26763253.429793209</v>
      </c>
      <c r="F53" s="229"/>
      <c r="G53" s="229"/>
      <c r="H53" s="229"/>
    </row>
    <row r="54" spans="1:8" x14ac:dyDescent="0.25">
      <c r="A54" s="229"/>
      <c r="B54" s="229"/>
      <c r="C54" s="229"/>
      <c r="D54" s="229"/>
      <c r="E54" s="229"/>
      <c r="F54" s="229"/>
      <c r="G54" s="229"/>
      <c r="H54" s="229"/>
    </row>
  </sheetData>
  <mergeCells count="5">
    <mergeCell ref="C7:G8"/>
    <mergeCell ref="C15:H16"/>
    <mergeCell ref="C22:G23"/>
    <mergeCell ref="C49:G50"/>
    <mergeCell ref="C28:G29"/>
  </mergeCells>
  <pageMargins left="0.7" right="0.7" top="0.75" bottom="0.75" header="0.3" footer="0.3"/>
  <customProperties>
    <customPr name="watsonwyatt_sheetdata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3D16CE4023BB4BB4110DFC2802C897" ma:contentTypeVersion="12" ma:contentTypeDescription="Create a new document." ma:contentTypeScope="" ma:versionID="65b3ef4f2db57c8fd06e10d67e29a91c">
  <xsd:schema xmlns:xsd="http://www.w3.org/2001/XMLSchema" xmlns:xs="http://www.w3.org/2001/XMLSchema" xmlns:p="http://schemas.microsoft.com/office/2006/metadata/properties" xmlns:ns2="16a415e0-cbd2-494f-bd0b-9ec9526163e9" targetNamespace="http://schemas.microsoft.com/office/2006/metadata/properties" ma:root="true" ma:fieldsID="368f79d5404671231dfb7196e18a5373" ns2:_="">
    <xsd:import namespace="16a415e0-cbd2-494f-bd0b-9ec952616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415e0-cbd2-494f-bd0b-9ec9526163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267e5f2-3cc9-4b2c-97a9-20aec386c2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a415e0-cbd2-494f-bd0b-9ec9526163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35E11E-5A92-4A15-8EDE-84AE656236E4}"/>
</file>

<file path=customXml/itemProps2.xml><?xml version="1.0" encoding="utf-8"?>
<ds:datastoreItem xmlns:ds="http://schemas.openxmlformats.org/officeDocument/2006/customXml" ds:itemID="{E2AE5BC8-E5A3-4A93-B895-8E10AD48382D}"/>
</file>

<file path=customXml/itemProps3.xml><?xml version="1.0" encoding="utf-8"?>
<ds:datastoreItem xmlns:ds="http://schemas.openxmlformats.org/officeDocument/2006/customXml" ds:itemID="{60BAEAC3-77A7-4FD2-ADCB-6D4E17D8E3C8}"/>
</file>

<file path=docMetadata/LabelInfo.xml><?xml version="1.0" encoding="utf-8"?>
<clbl:labelList xmlns:clbl="http://schemas.microsoft.com/office/2020/mipLabelMetadata">
  <clbl:label id="{0ab0bdf5-00c2-4aa6-932a-42ae8d464587}" enabled="1" method="Standard" siteId="{022f3b02-6070-4e91-a96f-2206ab7ebb08}" removed="0"/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Question 2 - Spring 2026</vt:lpstr>
      <vt:lpstr>Question 3</vt:lpstr>
      <vt:lpstr>Question 4 - Model Solution</vt:lpstr>
      <vt:lpstr>Question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Mark Dulceak</cp:lastModifiedBy>
  <dcterms:created xsi:type="dcterms:W3CDTF">2020-07-17T13:30:22Z</dcterms:created>
  <dcterms:modified xsi:type="dcterms:W3CDTF">2026-04-23T13:42:32Z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051ed417-209c-4ed0-8be4-88f836371e58</vt:lpwstr>
  </property>
  <property fmtid="{D5CDD505-2E9C-101B-9397-08002B2CF9AE}" pid="3" name="AonClassification">
    <vt:lpwstr>ADC_class_100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2025-07-18T18:29:10Z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e40364e4-4369-4f78-ba55-81ca4601d7d9</vt:lpwstr>
  </property>
  <property fmtid="{D5CDD505-2E9C-101B-9397-08002B2CF9AE}" pid="10" name="MSIP_Label_9043f10a-881e-4653-a55e-02ca2cc829dc_ContentBits">
    <vt:lpwstr>0</vt:lpwstr>
  </property>
  <property fmtid="{D5CDD505-2E9C-101B-9397-08002B2CF9AE}" pid="11" name="MSIP_Label_9043f10a-881e-4653-a55e-02ca2cc829dc_Tag">
    <vt:lpwstr>10, 3, 0, 1</vt:lpwstr>
  </property>
  <property fmtid="{D5CDD505-2E9C-101B-9397-08002B2CF9AE}" pid="12" name="MSIP_Label_6dba0110-2532-4fc4-9e37-d897b33f77eb_Enabled">
    <vt:lpwstr>true</vt:lpwstr>
  </property>
  <property fmtid="{D5CDD505-2E9C-101B-9397-08002B2CF9AE}" pid="13" name="MSIP_Label_6dba0110-2532-4fc4-9e37-d897b33f77eb_SetDate">
    <vt:lpwstr>2026-04-17T02:12:12Z</vt:lpwstr>
  </property>
  <property fmtid="{D5CDD505-2E9C-101B-9397-08002B2CF9AE}" pid="14" name="MSIP_Label_6dba0110-2532-4fc4-9e37-d897b33f77eb_Method">
    <vt:lpwstr>Standard</vt:lpwstr>
  </property>
  <property fmtid="{D5CDD505-2E9C-101B-9397-08002B2CF9AE}" pid="15" name="MSIP_Label_6dba0110-2532-4fc4-9e37-d897b33f77eb_Name">
    <vt:lpwstr>General</vt:lpwstr>
  </property>
  <property fmtid="{D5CDD505-2E9C-101B-9397-08002B2CF9AE}" pid="16" name="MSIP_Label_6dba0110-2532-4fc4-9e37-d897b33f77eb_SiteId">
    <vt:lpwstr>a9201994-a864-4a59-86b0-f84dd8aa67a7</vt:lpwstr>
  </property>
  <property fmtid="{D5CDD505-2E9C-101B-9397-08002B2CF9AE}" pid="17" name="MSIP_Label_6dba0110-2532-4fc4-9e37-d897b33f77eb_ActionId">
    <vt:lpwstr>10ef88fb-4ac7-4ede-ad11-dcf0aed796ce</vt:lpwstr>
  </property>
  <property fmtid="{D5CDD505-2E9C-101B-9397-08002B2CF9AE}" pid="18" name="MSIP_Label_6dba0110-2532-4fc4-9e37-d897b33f77eb_ContentBits">
    <vt:lpwstr>0</vt:lpwstr>
  </property>
  <property fmtid="{D5CDD505-2E9C-101B-9397-08002B2CF9AE}" pid="19" name="MSIP_Label_6dba0110-2532-4fc4-9e37-d897b33f77eb_Tag">
    <vt:lpwstr>10, 3, 0, 1</vt:lpwstr>
  </property>
  <property fmtid="{D5CDD505-2E9C-101B-9397-08002B2CF9AE}" pid="20" name="ContentTypeId">
    <vt:lpwstr>0x010100A13D16CE4023BB4BB4110DFC2802C897</vt:lpwstr>
  </property>
</Properties>
</file>