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Research\Practice Research\AR\AR183-Effects of Pension Plans on Corporate Valuation\Digital\"/>
    </mc:Choice>
  </mc:AlternateContent>
  <xr:revisionPtr revIDLastSave="0" documentId="8_{373AAC45-8D92-4F95-9919-D830101825B3}" xr6:coauthVersionLast="47" xr6:coauthVersionMax="47" xr10:uidLastSave="{00000000-0000-0000-0000-000000000000}"/>
  <bookViews>
    <workbookView xWindow="28680" yWindow="-120" windowWidth="29040" windowHeight="15720" tabRatio="686" xr2:uid="{00000000-000D-0000-FFFF-FFFF00000000}"/>
  </bookViews>
  <sheets>
    <sheet name="Introduction and Disclaimer" sheetId="1" r:id="rId1"/>
    <sheet name="Input" sheetId="3" r:id="rId2"/>
    <sheet name="Valuation without Pension" sheetId="4" r:id="rId3"/>
    <sheet name="Valuation with Pension" sheetId="5" r:id="rId4"/>
    <sheet name="Pension Derisking" sheetId="6" r:id="rId5"/>
    <sheet name="Cost of Capital" sheetId="7" r:id="rId6"/>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7" l="1"/>
  <c r="B16" i="7"/>
  <c r="B14" i="7"/>
  <c r="B11" i="7"/>
  <c r="B8" i="7"/>
  <c r="B7" i="7"/>
  <c r="B4" i="7"/>
  <c r="B3" i="7"/>
  <c r="B49" i="6"/>
  <c r="B43" i="6"/>
  <c r="L25" i="6"/>
  <c r="M25" i="6" s="1"/>
  <c r="B25" i="6"/>
  <c r="B23" i="6"/>
  <c r="C23" i="6" s="1"/>
  <c r="D23" i="6" s="1"/>
  <c r="E23" i="6" s="1"/>
  <c r="F23" i="6" s="1"/>
  <c r="G23" i="6" s="1"/>
  <c r="H23" i="6" s="1"/>
  <c r="I23" i="6" s="1"/>
  <c r="J23" i="6" s="1"/>
  <c r="K23" i="6" s="1"/>
  <c r="L23" i="6" s="1"/>
  <c r="M23" i="6" s="1"/>
  <c r="L22" i="6"/>
  <c r="M22" i="6" s="1"/>
  <c r="B21" i="6"/>
  <c r="L20" i="6"/>
  <c r="M20" i="6" s="1"/>
  <c r="C20" i="6"/>
  <c r="D20" i="6" s="1"/>
  <c r="E20" i="6" s="1"/>
  <c r="F20" i="6" s="1"/>
  <c r="G20" i="6" s="1"/>
  <c r="B12" i="6"/>
  <c r="B11" i="6"/>
  <c r="B8" i="6"/>
  <c r="B9" i="6" s="1"/>
  <c r="L58" i="6" s="1"/>
  <c r="B7" i="6"/>
  <c r="B60" i="6" s="1"/>
  <c r="B50" i="5"/>
  <c r="C46" i="5" s="1"/>
  <c r="B45" i="5"/>
  <c r="L43" i="5"/>
  <c r="L49" i="5" s="1"/>
  <c r="K43" i="5"/>
  <c r="K49" i="5" s="1"/>
  <c r="J43" i="5"/>
  <c r="J49" i="5" s="1"/>
  <c r="I43" i="5"/>
  <c r="I49" i="5" s="1"/>
  <c r="H43" i="5"/>
  <c r="H49" i="5" s="1"/>
  <c r="G43" i="5"/>
  <c r="G49" i="5" s="1"/>
  <c r="F43" i="5"/>
  <c r="F49" i="5" s="1"/>
  <c r="E43" i="5"/>
  <c r="E49" i="5" s="1"/>
  <c r="D43" i="5"/>
  <c r="D49" i="5" s="1"/>
  <c r="C43" i="5"/>
  <c r="C49" i="5" s="1"/>
  <c r="B34" i="5"/>
  <c r="B32" i="5"/>
  <c r="B29" i="5"/>
  <c r="B30" i="5" s="1"/>
  <c r="B28" i="5"/>
  <c r="B13" i="5"/>
  <c r="C12" i="5"/>
  <c r="D12" i="5" s="1"/>
  <c r="E12" i="5" s="1"/>
  <c r="F12" i="5" s="1"/>
  <c r="G12" i="5" s="1"/>
  <c r="H12" i="5" s="1"/>
  <c r="I12" i="5" s="1"/>
  <c r="J12" i="5" s="1"/>
  <c r="K12" i="5" s="1"/>
  <c r="L12" i="5" s="1"/>
  <c r="M12" i="5" s="1"/>
  <c r="L10" i="5"/>
  <c r="M10" i="5" s="1"/>
  <c r="B10" i="5"/>
  <c r="B8" i="5"/>
  <c r="C8" i="5" s="1"/>
  <c r="D8" i="5" s="1"/>
  <c r="E8" i="5" s="1"/>
  <c r="F8" i="5" s="1"/>
  <c r="G8" i="5" s="1"/>
  <c r="H8" i="5" s="1"/>
  <c r="I8" i="5" s="1"/>
  <c r="J8" i="5" s="1"/>
  <c r="K8" i="5" s="1"/>
  <c r="L8" i="5" s="1"/>
  <c r="M8" i="5" s="1"/>
  <c r="L7" i="5"/>
  <c r="M7" i="5" s="1"/>
  <c r="B6" i="5"/>
  <c r="L5" i="5"/>
  <c r="M5" i="5" s="1"/>
  <c r="C5" i="5"/>
  <c r="D5" i="5" s="1"/>
  <c r="E5" i="5" s="1"/>
  <c r="F5" i="5" s="1"/>
  <c r="G5" i="5" s="1"/>
  <c r="B31" i="4"/>
  <c r="B29" i="4"/>
  <c r="B27" i="4"/>
  <c r="B12" i="4"/>
  <c r="C11" i="4"/>
  <c r="D11" i="4" s="1"/>
  <c r="E11" i="4" s="1"/>
  <c r="F11" i="4" s="1"/>
  <c r="G11" i="4" s="1"/>
  <c r="H11" i="4" s="1"/>
  <c r="I11" i="4" s="1"/>
  <c r="J11" i="4" s="1"/>
  <c r="K11" i="4" s="1"/>
  <c r="L11" i="4" s="1"/>
  <c r="M11" i="4" s="1"/>
  <c r="L9" i="4"/>
  <c r="M9" i="4" s="1"/>
  <c r="B9" i="4"/>
  <c r="L7" i="4"/>
  <c r="M7" i="4" s="1"/>
  <c r="B6" i="4"/>
  <c r="L5" i="4"/>
  <c r="M5" i="4" s="1"/>
  <c r="C5" i="4"/>
  <c r="D5" i="4" s="1"/>
  <c r="E5" i="4" s="1"/>
  <c r="F5" i="4" s="1"/>
  <c r="G5" i="4" s="1"/>
  <c r="B52" i="3"/>
  <c r="B44" i="3"/>
  <c r="B38" i="3"/>
  <c r="B37" i="3"/>
  <c r="H48" i="5" s="1"/>
  <c r="B36" i="3"/>
  <c r="B19" i="3"/>
  <c r="B22" i="6" s="1"/>
  <c r="C9" i="4" l="1"/>
  <c r="D9" i="4" s="1"/>
  <c r="E9" i="4" s="1"/>
  <c r="F9" i="4" s="1"/>
  <c r="G9" i="4" s="1"/>
  <c r="H9" i="4" s="1"/>
  <c r="I9" i="4" s="1"/>
  <c r="J9" i="4" s="1"/>
  <c r="K9" i="4" s="1"/>
  <c r="C25" i="6"/>
  <c r="D25" i="6" s="1"/>
  <c r="E25" i="6" s="1"/>
  <c r="F25" i="6" s="1"/>
  <c r="G25" i="6" s="1"/>
  <c r="H25" i="6" s="1"/>
  <c r="I25" i="6" s="1"/>
  <c r="J25" i="6" s="1"/>
  <c r="K25" i="6" s="1"/>
  <c r="C10" i="5"/>
  <c r="D10" i="5" s="1"/>
  <c r="E10" i="5" s="1"/>
  <c r="F10" i="5" s="1"/>
  <c r="G10" i="5" s="1"/>
  <c r="H10" i="5" s="1"/>
  <c r="I10" i="5" s="1"/>
  <c r="J10" i="5" s="1"/>
  <c r="K10" i="5" s="1"/>
  <c r="G48" i="5"/>
  <c r="H5" i="5"/>
  <c r="I5" i="5" s="1"/>
  <c r="J5" i="5" s="1"/>
  <c r="K5" i="5" s="1"/>
  <c r="B10" i="7"/>
  <c r="C10" i="7" s="1"/>
  <c r="D48" i="5"/>
  <c r="B7" i="4"/>
  <c r="C7" i="4" s="1"/>
  <c r="D7" i="4" s="1"/>
  <c r="E7" i="4" s="1"/>
  <c r="F7" i="4" s="1"/>
  <c r="G7" i="4" s="1"/>
  <c r="H7" i="4" s="1"/>
  <c r="I7" i="4" s="1"/>
  <c r="J7" i="4" s="1"/>
  <c r="K7" i="4" s="1"/>
  <c r="I48" i="5"/>
  <c r="C63" i="6"/>
  <c r="B51" i="5"/>
  <c r="B7" i="5"/>
  <c r="C7" i="5" s="1"/>
  <c r="D7" i="5" s="1"/>
  <c r="E7" i="5" s="1"/>
  <c r="F7" i="5" s="1"/>
  <c r="G7" i="5" s="1"/>
  <c r="H7" i="5" s="1"/>
  <c r="I7" i="5" s="1"/>
  <c r="J7" i="5" s="1"/>
  <c r="K7" i="5" s="1"/>
  <c r="C42" i="5"/>
  <c r="C44" i="5"/>
  <c r="H20" i="6"/>
  <c r="I20" i="6" s="1"/>
  <c r="J20" i="6" s="1"/>
  <c r="K20" i="6" s="1"/>
  <c r="B9" i="7"/>
  <c r="C9" i="7" s="1"/>
  <c r="C47" i="5" s="1"/>
  <c r="H5" i="4"/>
  <c r="I5" i="4" s="1"/>
  <c r="J5" i="4" s="1"/>
  <c r="K5" i="4" s="1"/>
  <c r="C40" i="5"/>
  <c r="C6" i="4"/>
  <c r="C55" i="6"/>
  <c r="B24" i="6"/>
  <c r="B26" i="6" s="1"/>
  <c r="C22" i="6"/>
  <c r="D22" i="6" s="1"/>
  <c r="E22" i="6" s="1"/>
  <c r="F22" i="6" s="1"/>
  <c r="G22" i="6" s="1"/>
  <c r="H22" i="6" s="1"/>
  <c r="I22" i="6" s="1"/>
  <c r="J22" i="6" s="1"/>
  <c r="K22" i="6" s="1"/>
  <c r="D58" i="6"/>
  <c r="D64" i="6" s="1"/>
  <c r="L64" i="6"/>
  <c r="I58" i="6"/>
  <c r="I64" i="6" s="1"/>
  <c r="J58" i="6"/>
  <c r="J64" i="6" s="1"/>
  <c r="H58" i="6"/>
  <c r="H64" i="6" s="1"/>
  <c r="G58" i="6"/>
  <c r="G64" i="6" s="1"/>
  <c r="F58" i="6"/>
  <c r="F64" i="6" s="1"/>
  <c r="E58" i="6"/>
  <c r="E64" i="6" s="1"/>
  <c r="C58" i="6"/>
  <c r="C64" i="6" s="1"/>
  <c r="K58" i="6"/>
  <c r="K64" i="6" s="1"/>
  <c r="I63" i="6"/>
  <c r="F63" i="6"/>
  <c r="K48" i="5"/>
  <c r="C48" i="5"/>
  <c r="C6" i="5"/>
  <c r="L48" i="5"/>
  <c r="B10" i="6"/>
  <c r="C21" i="6"/>
  <c r="E63" i="6"/>
  <c r="G63" i="6"/>
  <c r="C7" i="7"/>
  <c r="E48" i="5"/>
  <c r="H63" i="6"/>
  <c r="F48" i="5"/>
  <c r="J63" i="6"/>
  <c r="C8" i="7"/>
  <c r="B44" i="6"/>
  <c r="B45" i="6" s="1"/>
  <c r="K63" i="6"/>
  <c r="C16" i="7"/>
  <c r="L63" i="6"/>
  <c r="B65" i="6"/>
  <c r="C17" i="7"/>
  <c r="J48" i="5"/>
  <c r="D63" i="6"/>
  <c r="C41" i="5" l="1"/>
  <c r="C45" i="5" s="1"/>
  <c r="D40" i="5" s="1"/>
  <c r="B8" i="4"/>
  <c r="B10" i="4" s="1"/>
  <c r="B13" i="4" s="1"/>
  <c r="B9" i="5"/>
  <c r="B11" i="5" s="1"/>
  <c r="B14" i="5" s="1"/>
  <c r="C50" i="5"/>
  <c r="B23" i="7"/>
  <c r="B15" i="7"/>
  <c r="D21" i="6"/>
  <c r="C24" i="6"/>
  <c r="C26" i="6" s="1"/>
  <c r="C8" i="4"/>
  <c r="C10" i="4" s="1"/>
  <c r="C12" i="4"/>
  <c r="C14" i="4" s="1"/>
  <c r="D6" i="4"/>
  <c r="C61" i="6"/>
  <c r="C59" i="6"/>
  <c r="C56" i="6"/>
  <c r="C13" i="5"/>
  <c r="D6" i="5"/>
  <c r="C9" i="5"/>
  <c r="C11" i="5" s="1"/>
  <c r="C57" i="6"/>
  <c r="B66" i="6"/>
  <c r="B13" i="6"/>
  <c r="B15" i="6"/>
  <c r="B16" i="6" s="1"/>
  <c r="B28" i="6"/>
  <c r="B29" i="6" s="1"/>
  <c r="C51" i="5" l="1"/>
  <c r="D42" i="5"/>
  <c r="D46" i="5"/>
  <c r="D47" i="5" s="1"/>
  <c r="D50" i="5" s="1"/>
  <c r="D44" i="5"/>
  <c r="C60" i="6"/>
  <c r="D55" i="6" s="1"/>
  <c r="B14" i="6"/>
  <c r="B47" i="6" s="1"/>
  <c r="C14" i="7"/>
  <c r="B26" i="4"/>
  <c r="C23" i="7"/>
  <c r="C15" i="7"/>
  <c r="B27" i="5"/>
  <c r="B27" i="7"/>
  <c r="B28" i="7" s="1"/>
  <c r="B29" i="7" s="1"/>
  <c r="B30" i="7" s="1"/>
  <c r="C17" i="5" s="1"/>
  <c r="C22" i="7"/>
  <c r="B21" i="7"/>
  <c r="B22" i="7" s="1"/>
  <c r="C62" i="6"/>
  <c r="C65" i="6" s="1"/>
  <c r="C14" i="5"/>
  <c r="D12" i="4"/>
  <c r="D14" i="4" s="1"/>
  <c r="E6" i="4"/>
  <c r="D8" i="4"/>
  <c r="D10" i="4" s="1"/>
  <c r="D9" i="5"/>
  <c r="D11" i="5" s="1"/>
  <c r="D13" i="5"/>
  <c r="E6" i="5"/>
  <c r="C28" i="6"/>
  <c r="C29" i="6" s="1"/>
  <c r="C15" i="5"/>
  <c r="C16" i="5" s="1"/>
  <c r="C13" i="4"/>
  <c r="C15" i="4"/>
  <c r="D41" i="5"/>
  <c r="E21" i="6"/>
  <c r="D24" i="6"/>
  <c r="D26" i="6" s="1"/>
  <c r="D45" i="5" l="1"/>
  <c r="D51" i="5" s="1"/>
  <c r="B33" i="7"/>
  <c r="B34" i="7" s="1"/>
  <c r="B35" i="7" s="1"/>
  <c r="B36" i="7" s="1"/>
  <c r="C32" i="6" s="1"/>
  <c r="E44" i="5"/>
  <c r="E46" i="5"/>
  <c r="D15" i="5"/>
  <c r="D16" i="5" s="1"/>
  <c r="D28" i="6"/>
  <c r="C18" i="5"/>
  <c r="C19" i="5" s="1"/>
  <c r="D17" i="5"/>
  <c r="E17" i="5" s="1"/>
  <c r="F17" i="5" s="1"/>
  <c r="G17" i="5" s="1"/>
  <c r="H17" i="5" s="1"/>
  <c r="I17" i="5" s="1"/>
  <c r="J17" i="5" s="1"/>
  <c r="K17" i="5" s="1"/>
  <c r="L17" i="5" s="1"/>
  <c r="M17" i="5" s="1"/>
  <c r="B24" i="7"/>
  <c r="C16" i="4" s="1"/>
  <c r="D61" i="6"/>
  <c r="D59" i="6"/>
  <c r="D15" i="4"/>
  <c r="D13" i="4"/>
  <c r="F21" i="6"/>
  <c r="E24" i="6"/>
  <c r="E26" i="6" s="1"/>
  <c r="F6" i="4"/>
  <c r="E12" i="4"/>
  <c r="E14" i="4" s="1"/>
  <c r="E8" i="4"/>
  <c r="E10" i="4" s="1"/>
  <c r="D56" i="6"/>
  <c r="D14" i="5"/>
  <c r="D57" i="6"/>
  <c r="C30" i="6"/>
  <c r="C31" i="6" s="1"/>
  <c r="C27" i="6"/>
  <c r="E13" i="5"/>
  <c r="F6" i="5"/>
  <c r="E9" i="5"/>
  <c r="E11" i="5" s="1"/>
  <c r="B42" i="6"/>
  <c r="C66" i="6"/>
  <c r="E42" i="5" l="1"/>
  <c r="E40" i="5"/>
  <c r="E41" i="5" s="1"/>
  <c r="D60" i="6"/>
  <c r="E55" i="6" s="1"/>
  <c r="E28" i="6"/>
  <c r="E29" i="6" s="1"/>
  <c r="E15" i="5"/>
  <c r="E16" i="5" s="1"/>
  <c r="D30" i="6"/>
  <c r="D31" i="6" s="1"/>
  <c r="D27" i="6"/>
  <c r="D62" i="6"/>
  <c r="D65" i="6" s="1"/>
  <c r="E15" i="4"/>
  <c r="E13" i="4"/>
  <c r="C33" i="6"/>
  <c r="C34" i="6" s="1"/>
  <c r="D32" i="6"/>
  <c r="E32" i="6" s="1"/>
  <c r="F32" i="6" s="1"/>
  <c r="G32" i="6" s="1"/>
  <c r="H32" i="6" s="1"/>
  <c r="I32" i="6" s="1"/>
  <c r="J32" i="6" s="1"/>
  <c r="K32" i="6" s="1"/>
  <c r="L32" i="6" s="1"/>
  <c r="M32" i="6" s="1"/>
  <c r="F8" i="4"/>
  <c r="F10" i="4" s="1"/>
  <c r="G6" i="4"/>
  <c r="F12" i="4"/>
  <c r="F14" i="4" s="1"/>
  <c r="D29" i="6"/>
  <c r="E14" i="5"/>
  <c r="E47" i="5"/>
  <c r="E50" i="5" s="1"/>
  <c r="C17" i="4"/>
  <c r="D16" i="4"/>
  <c r="E16" i="4" s="1"/>
  <c r="F16" i="4" s="1"/>
  <c r="G16" i="4" s="1"/>
  <c r="H16" i="4" s="1"/>
  <c r="I16" i="4" s="1"/>
  <c r="J16" i="4" s="1"/>
  <c r="K16" i="4" s="1"/>
  <c r="L16" i="4" s="1"/>
  <c r="M16" i="4" s="1"/>
  <c r="F9" i="5"/>
  <c r="F11" i="5" s="1"/>
  <c r="F13" i="5"/>
  <c r="G6" i="5"/>
  <c r="G21" i="6"/>
  <c r="F24" i="6"/>
  <c r="F26" i="6" s="1"/>
  <c r="D18" i="5"/>
  <c r="E18" i="5" s="1"/>
  <c r="F18" i="5" s="1"/>
  <c r="G18" i="5" s="1"/>
  <c r="H18" i="5" s="1"/>
  <c r="I18" i="5" s="1"/>
  <c r="J18" i="5" s="1"/>
  <c r="K18" i="5" s="1"/>
  <c r="L18" i="5" s="1"/>
  <c r="E45" i="5" l="1"/>
  <c r="E51" i="5" s="1"/>
  <c r="D66" i="6"/>
  <c r="E57" i="6"/>
  <c r="E19" i="5"/>
  <c r="D17" i="4"/>
  <c r="C18" i="4"/>
  <c r="E56" i="6"/>
  <c r="F44" i="5"/>
  <c r="F46" i="5"/>
  <c r="E61" i="6"/>
  <c r="E59" i="6"/>
  <c r="F14" i="5"/>
  <c r="F13" i="4"/>
  <c r="F15" i="4"/>
  <c r="H6" i="5"/>
  <c r="G13" i="5"/>
  <c r="G9" i="5"/>
  <c r="G11" i="5" s="1"/>
  <c r="D33" i="6"/>
  <c r="E33" i="6" s="1"/>
  <c r="F33" i="6" s="1"/>
  <c r="G33" i="6" s="1"/>
  <c r="H33" i="6" s="1"/>
  <c r="I33" i="6" s="1"/>
  <c r="J33" i="6" s="1"/>
  <c r="K33" i="6" s="1"/>
  <c r="L33" i="6" s="1"/>
  <c r="E30" i="6"/>
  <c r="E31" i="6" s="1"/>
  <c r="E27" i="6"/>
  <c r="G12" i="4"/>
  <c r="G14" i="4" s="1"/>
  <c r="H6" i="4"/>
  <c r="G8" i="4"/>
  <c r="G10" i="4" s="1"/>
  <c r="G24" i="6"/>
  <c r="G26" i="6" s="1"/>
  <c r="H21" i="6"/>
  <c r="F15" i="5"/>
  <c r="F16" i="5" s="1"/>
  <c r="F19" i="5" s="1"/>
  <c r="F28" i="6"/>
  <c r="F29" i="6" s="1"/>
  <c r="D19" i="5"/>
  <c r="F42" i="5" l="1"/>
  <c r="F40" i="5"/>
  <c r="F41" i="5" s="1"/>
  <c r="E34" i="6"/>
  <c r="E60" i="6"/>
  <c r="F55" i="6" s="1"/>
  <c r="F47" i="5"/>
  <c r="F50" i="5" s="1"/>
  <c r="H24" i="6"/>
  <c r="H26" i="6" s="1"/>
  <c r="I21" i="6"/>
  <c r="G14" i="5"/>
  <c r="G28" i="6"/>
  <c r="G15" i="5"/>
  <c r="G16" i="5" s="1"/>
  <c r="G19" i="5" s="1"/>
  <c r="D34" i="6"/>
  <c r="G13" i="4"/>
  <c r="G15" i="4"/>
  <c r="H13" i="5"/>
  <c r="H9" i="5"/>
  <c r="H11" i="5" s="1"/>
  <c r="I6" i="5"/>
  <c r="E17" i="4"/>
  <c r="D18" i="4"/>
  <c r="F30" i="6"/>
  <c r="F31" i="6" s="1"/>
  <c r="F34" i="6" s="1"/>
  <c r="F27" i="6"/>
  <c r="I6" i="4"/>
  <c r="H12" i="4"/>
  <c r="H14" i="4" s="1"/>
  <c r="H8" i="4"/>
  <c r="H10" i="4" s="1"/>
  <c r="E62" i="6"/>
  <c r="E65" i="6" s="1"/>
  <c r="F45" i="5" l="1"/>
  <c r="F51" i="5" s="1"/>
  <c r="F59" i="6"/>
  <c r="F61" i="6"/>
  <c r="E66" i="6"/>
  <c r="F57" i="6"/>
  <c r="I9" i="5"/>
  <c r="I11" i="5" s="1"/>
  <c r="I13" i="5"/>
  <c r="J6" i="5"/>
  <c r="G30" i="6"/>
  <c r="G31" i="6" s="1"/>
  <c r="G34" i="6" s="1"/>
  <c r="G27" i="6"/>
  <c r="H15" i="4"/>
  <c r="H13" i="4"/>
  <c r="G46" i="5"/>
  <c r="G44" i="5"/>
  <c r="H14" i="5"/>
  <c r="J21" i="6"/>
  <c r="I24" i="6"/>
  <c r="I26" i="6" s="1"/>
  <c r="H28" i="6"/>
  <c r="H29" i="6" s="1"/>
  <c r="H15" i="5"/>
  <c r="H16" i="5" s="1"/>
  <c r="H19" i="5" s="1"/>
  <c r="J6" i="4"/>
  <c r="I8" i="4"/>
  <c r="I10" i="4" s="1"/>
  <c r="I12" i="4"/>
  <c r="I14" i="4" s="1"/>
  <c r="G29" i="6"/>
  <c r="F17" i="4"/>
  <c r="E18" i="4"/>
  <c r="F56" i="6"/>
  <c r="G40" i="5" l="1"/>
  <c r="G41" i="5" s="1"/>
  <c r="G42" i="5"/>
  <c r="F60" i="6"/>
  <c r="G55" i="6" s="1"/>
  <c r="K21" i="6"/>
  <c r="J24" i="6"/>
  <c r="J26" i="6" s="1"/>
  <c r="J8" i="4"/>
  <c r="J10" i="4" s="1"/>
  <c r="K6" i="4"/>
  <c r="J12" i="4"/>
  <c r="J14" i="4" s="1"/>
  <c r="K6" i="5"/>
  <c r="J13" i="5"/>
  <c r="J9" i="5"/>
  <c r="J11" i="5" s="1"/>
  <c r="G47" i="5"/>
  <c r="G50" i="5" s="1"/>
  <c r="I28" i="6"/>
  <c r="I15" i="5"/>
  <c r="I16" i="5" s="1"/>
  <c r="I19" i="5" s="1"/>
  <c r="F62" i="6"/>
  <c r="F65" i="6" s="1"/>
  <c r="I15" i="4"/>
  <c r="I13" i="4"/>
  <c r="H30" i="6"/>
  <c r="H31" i="6" s="1"/>
  <c r="H34" i="6" s="1"/>
  <c r="H27" i="6"/>
  <c r="G17" i="4"/>
  <c r="F18" i="4"/>
  <c r="I14" i="5"/>
  <c r="G45" i="5" l="1"/>
  <c r="H40" i="5" s="1"/>
  <c r="I30" i="6"/>
  <c r="I31" i="6" s="1"/>
  <c r="I34" i="6" s="1"/>
  <c r="I27" i="6"/>
  <c r="J14" i="5"/>
  <c r="I29" i="6"/>
  <c r="H46" i="5"/>
  <c r="H44" i="5"/>
  <c r="J28" i="6"/>
  <c r="J15" i="5"/>
  <c r="J16" i="5" s="1"/>
  <c r="J19" i="5" s="1"/>
  <c r="G59" i="6"/>
  <c r="G61" i="6"/>
  <c r="K9" i="5"/>
  <c r="K11" i="5" s="1"/>
  <c r="L6" i="5"/>
  <c r="K13" i="5"/>
  <c r="G57" i="6"/>
  <c r="J15" i="4"/>
  <c r="J13" i="4"/>
  <c r="K24" i="6"/>
  <c r="K26" i="6" s="1"/>
  <c r="L21" i="6"/>
  <c r="H17" i="4"/>
  <c r="G18" i="4"/>
  <c r="G56" i="6"/>
  <c r="K8" i="4"/>
  <c r="K10" i="4" s="1"/>
  <c r="K12" i="4"/>
  <c r="K14" i="4" s="1"/>
  <c r="L6" i="4"/>
  <c r="F66" i="6"/>
  <c r="H42" i="5" l="1"/>
  <c r="G51" i="5"/>
  <c r="G60" i="6"/>
  <c r="H55" i="6" s="1"/>
  <c r="H47" i="5"/>
  <c r="H50" i="5" s="1"/>
  <c r="H41" i="5"/>
  <c r="K14" i="5"/>
  <c r="M21" i="6"/>
  <c r="L24" i="6"/>
  <c r="L26" i="6" s="1"/>
  <c r="J30" i="6"/>
  <c r="J31" i="6" s="1"/>
  <c r="J34" i="6" s="1"/>
  <c r="J27" i="6"/>
  <c r="L12" i="4"/>
  <c r="L14" i="4" s="1"/>
  <c r="L8" i="4"/>
  <c r="L10" i="4" s="1"/>
  <c r="M6" i="4"/>
  <c r="J29" i="6"/>
  <c r="K28" i="6"/>
  <c r="K29" i="6" s="1"/>
  <c r="K15" i="5"/>
  <c r="K16" i="5" s="1"/>
  <c r="K19" i="5" s="1"/>
  <c r="G62" i="6"/>
  <c r="G65" i="6" s="1"/>
  <c r="K15" i="4"/>
  <c r="K13" i="4"/>
  <c r="I17" i="4"/>
  <c r="H18" i="4"/>
  <c r="L9" i="5"/>
  <c r="L11" i="5" s="1"/>
  <c r="L13" i="5"/>
  <c r="M6" i="5"/>
  <c r="H45" i="5" l="1"/>
  <c r="I40" i="5" s="1"/>
  <c r="H57" i="6"/>
  <c r="I46" i="5"/>
  <c r="I44" i="5"/>
  <c r="L15" i="5"/>
  <c r="L16" i="5" s="1"/>
  <c r="L19" i="5" s="1"/>
  <c r="B23" i="5" s="1"/>
  <c r="L28" i="6"/>
  <c r="M13" i="5"/>
  <c r="M9" i="5"/>
  <c r="M11" i="5" s="1"/>
  <c r="L14" i="5"/>
  <c r="M24" i="6"/>
  <c r="M26" i="6" s="1"/>
  <c r="H61" i="6"/>
  <c r="H59" i="6"/>
  <c r="K30" i="6"/>
  <c r="K31" i="6" s="1"/>
  <c r="K34" i="6" s="1"/>
  <c r="K27" i="6"/>
  <c r="L29" i="6"/>
  <c r="L15" i="4"/>
  <c r="L13" i="4"/>
  <c r="G66" i="6"/>
  <c r="J17" i="4"/>
  <c r="I18" i="4"/>
  <c r="M8" i="4"/>
  <c r="M10" i="4" s="1"/>
  <c r="M12" i="4"/>
  <c r="M14" i="4" s="1"/>
  <c r="H56" i="6"/>
  <c r="I42" i="5" l="1"/>
  <c r="H51" i="5"/>
  <c r="H60" i="6"/>
  <c r="I55" i="6" s="1"/>
  <c r="K17" i="4"/>
  <c r="J18" i="4"/>
  <c r="M14" i="5"/>
  <c r="I41" i="5"/>
  <c r="M28" i="6"/>
  <c r="M29" i="6" s="1"/>
  <c r="M15" i="5"/>
  <c r="M16" i="5" s="1"/>
  <c r="B24" i="5" s="1"/>
  <c r="B25" i="5" s="1"/>
  <c r="B26" i="5" s="1"/>
  <c r="B31" i="5" s="1"/>
  <c r="B33" i="5" s="1"/>
  <c r="B35" i="5" s="1"/>
  <c r="L30" i="6"/>
  <c r="L31" i="6" s="1"/>
  <c r="L34" i="6" s="1"/>
  <c r="B38" i="6" s="1"/>
  <c r="L27" i="6"/>
  <c r="H62" i="6"/>
  <c r="H65" i="6" s="1"/>
  <c r="M15" i="4"/>
  <c r="B23" i="4" s="1"/>
  <c r="M13" i="4"/>
  <c r="I47" i="5"/>
  <c r="I50" i="5" s="1"/>
  <c r="I45" i="5" l="1"/>
  <c r="H66" i="6"/>
  <c r="I57" i="6"/>
  <c r="J44" i="5"/>
  <c r="J46" i="5"/>
  <c r="J40" i="5"/>
  <c r="I51" i="5"/>
  <c r="J42" i="5"/>
  <c r="I56" i="6"/>
  <c r="I61" i="6"/>
  <c r="I59" i="6"/>
  <c r="M30" i="6"/>
  <c r="M31" i="6" s="1"/>
  <c r="B39" i="6" s="1"/>
  <c r="B40" i="6" s="1"/>
  <c r="B41" i="6" s="1"/>
  <c r="B46" i="6" s="1"/>
  <c r="B48" i="6" s="1"/>
  <c r="B50" i="6" s="1"/>
  <c r="M27" i="6"/>
  <c r="L17" i="4"/>
  <c r="L18" i="4" s="1"/>
  <c r="K18" i="4"/>
  <c r="I60" i="6" l="1"/>
  <c r="J55" i="6" s="1"/>
  <c r="B24" i="4"/>
  <c r="J41" i="5"/>
  <c r="J45" i="5" s="1"/>
  <c r="J47" i="5"/>
  <c r="J50" i="5" s="1"/>
  <c r="B22" i="4"/>
  <c r="I62" i="6"/>
  <c r="I65" i="6" s="1"/>
  <c r="B25" i="4" l="1"/>
  <c r="B28" i="4" s="1"/>
  <c r="B30" i="4" s="1"/>
  <c r="B32" i="4" s="1"/>
  <c r="J59" i="6"/>
  <c r="J61" i="6"/>
  <c r="I66" i="6"/>
  <c r="J57" i="6"/>
  <c r="K44" i="5"/>
  <c r="K46" i="5"/>
  <c r="J56" i="6"/>
  <c r="J51" i="5"/>
  <c r="K40" i="5"/>
  <c r="K42" i="5"/>
  <c r="J60" i="6" l="1"/>
  <c r="K55" i="6" s="1"/>
  <c r="K41" i="5"/>
  <c r="K45" i="5" s="1"/>
  <c r="J62" i="6"/>
  <c r="J65" i="6" s="1"/>
  <c r="K47" i="5"/>
  <c r="K50" i="5" s="1"/>
  <c r="K61" i="6" l="1"/>
  <c r="K59" i="6"/>
  <c r="K57" i="6"/>
  <c r="J66" i="6"/>
  <c r="L44" i="5"/>
  <c r="L46" i="5"/>
  <c r="K51" i="5"/>
  <c r="L40" i="5"/>
  <c r="L42" i="5"/>
  <c r="K56" i="6"/>
  <c r="K60" i="6" l="1"/>
  <c r="L55" i="6" s="1"/>
  <c r="L47" i="5"/>
  <c r="L50" i="5" s="1"/>
  <c r="L41" i="5"/>
  <c r="L45" i="5" s="1"/>
  <c r="K62" i="6"/>
  <c r="K65" i="6" s="1"/>
  <c r="L51" i="5" l="1"/>
  <c r="L61" i="6"/>
  <c r="L59" i="6"/>
  <c r="L57" i="6"/>
  <c r="K66" i="6"/>
  <c r="L56" i="6"/>
  <c r="L60" i="6" l="1"/>
  <c r="L62" i="6"/>
  <c r="L65" i="6" s="1"/>
  <c r="L6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tc={3390CF1A-B590-4D47-910E-A45744EB8954}</author>
    <author>tc={758E8B5F-29C6-47BC-A754-990EA0E49EEF}</author>
    <author>tc={9968BF57-A4CC-4DA5-A56B-28D27E827EFB}</author>
    <author>tc={D7A442D7-CA01-473E-8EDF-89EA296ECEAD}</author>
    <author>tc={682077ED-8D3B-4C78-BD46-943697AE8A70}</author>
    <author>tc={F6CDFA66-1563-4A15-9C76-EF32DE612CAC}</author>
    <author>tc={EF2B98DD-73B4-4EFD-B357-634AF758E81E}</author>
    <author>tc={9A32DB7B-0EED-438D-851F-C1D5BB03E743}</author>
    <author>tc={AE62D217-D4E0-41A9-8AA8-8F2AA7703D11}</author>
    <author>tc={39FEA424-01BB-4044-9E73-6BAEB0AE63D7}</author>
    <author>tc={186F1A49-8CDE-4AF2-935F-1E352AD81D3B}</author>
    <author>tc={1A50F2E9-1880-48EF-AD4F-32FAD21D14FC}</author>
    <author>tc={D3F31A3F-367B-4D51-84CE-5DDC9B7C2ABC}</author>
  </authors>
  <commentList>
    <comment ref="B5" authorId="0" shapeId="0" xr:uid="{3390CF1A-B590-4D47-910E-A45744EB8954}">
      <text>
        <t>[Threaded comment]
Your version of Excel allows you to read this threaded comment; however, any edits to it will get removed if the file is opened in a newer version of Excel. Learn more: https://go.microsoft.com/fwlink/?linkid=870924
Comment:
    EBIT stand for Earnings Before Interest and Taxes</t>
      </text>
    </comment>
    <comment ref="B6" authorId="1" shapeId="0" xr:uid="{758E8B5F-29C6-47BC-A754-990EA0E49EEF}">
      <text>
        <t>[Threaded comment]
Your version of Excel allows you to read this threaded comment; however, any edits to it will get removed if the file is opened in a newer version of Excel. Learn more: https://go.microsoft.com/fwlink/?linkid=870924
Comment:
    The interest expense and BV of Debt can be used to estimate the MV of Debt.</t>
      </text>
    </comment>
    <comment ref="B18" authorId="2" shapeId="0" xr:uid="{9968BF57-A4CC-4DA5-A56B-28D27E827EFB}">
      <text>
        <t>[Threaded comment]
Your version of Excel allows you to read this threaded comment; however, any edits to it will get removed if the file is opened in a newer version of Excel. Learn more: https://go.microsoft.com/fwlink/?linkid=870924
Comment:
    The revenue growth rate is assumed to be linearly approaching the target by 5 years.</t>
      </text>
    </comment>
    <comment ref="B19" authorId="3" shapeId="0" xr:uid="{D7A442D7-CA01-473E-8EDF-89EA296ECEAD}">
      <text>
        <t>[Threaded comment]
Your version of Excel allows you to read this threaded comment; however, any edits to it will get removed if the file is opened in a newer version of Excel. Learn more: https://go.microsoft.com/fwlink/?linkid=870924
Comment:
    The operating margin here excludes pension service cost.</t>
      </text>
    </comment>
    <comment ref="B20" authorId="4" shapeId="0" xr:uid="{682077ED-8D3B-4C78-BD46-943697AE8A70}">
      <text>
        <t>[Threaded comment]
Your version of Excel allows you to read this threaded comment; however, any edits to it will get removed if the file is opened in a newer version of Excel. Learn more: https://go.microsoft.com/fwlink/?linkid=870924
Comment:
    The operating margin is assumed to be linearly approaching the target from the first year.</t>
      </text>
    </comment>
    <comment ref="B22" authorId="5" shapeId="0" xr:uid="{F6CDFA66-1563-4A15-9C76-EF32DE612CAC}">
      <text>
        <t>[Threaded comment]
Your version of Excel allows you to read this threaded comment; however, any edits to it will get removed if the file is opened in a newer version of Excel. Learn more: https://go.microsoft.com/fwlink/?linkid=870924
Comment:
    This ratio is used to estimate the implied reinvestment amount.</t>
      </text>
    </comment>
    <comment ref="B38" authorId="6" shapeId="0" xr:uid="{EF2B98DD-73B4-4EFD-B357-634AF758E81E}">
      <text>
        <t>[Threaded comment]
Your version of Excel allows you to read this threaded comment; however, any edits to it will get removed if the file is opened in a newer version of Excel. Learn more: https://go.microsoft.com/fwlink/?linkid=870924
Comment:
    This is used to estimate the annual pension deficit contribution, in addition to the normal contribution.</t>
      </text>
    </comment>
    <comment ref="B41" authorId="7" shapeId="0" xr:uid="{9A32DB7B-0EED-438D-851F-C1D5BB03E743}">
      <text>
        <t>[Threaded comment]
Your version of Excel allows you to read this threaded comment; however, any edits to it will get removed if the file is opened in a newer version of Excel. Learn more: https://go.microsoft.com/fwlink/?linkid=870924
Comment:
    Pension administrative costs include investment management fees, PBGC insurance premiums etc.</t>
      </text>
    </comment>
    <comment ref="B42" authorId="8" shapeId="0" xr:uid="{AE62D217-D4E0-41A9-8AA8-8F2AA7703D11}">
      <text>
        <t>[Threaded comment]
Your version of Excel allows you to read this threaded comment; however, any edits to it will get removed if the file is opened in a newer version of Excel. Learn more: https://go.microsoft.com/fwlink/?linkid=870924
Comment:
    Pension Assets are assumed to be invested in three asset categories: overall equity market index, bond index, and money market fund.</t>
      </text>
    </comment>
    <comment ref="B45" authorId="9" shapeId="0" xr:uid="{39FEA424-01BB-4044-9E73-6BAEB0AE63D7}">
      <text>
        <t>[Threaded comment]
Your version of Excel allows you to read this threaded comment; however, any edits to it will get removed if the file is opened in a newer version of Excel. Learn more: https://go.microsoft.com/fwlink/?linkid=870924
Comment:
    This is the penalty rate for a firm to utilize its pension surplus.</t>
      </text>
    </comment>
    <comment ref="B48" authorId="10" shapeId="0" xr:uid="{186F1A49-8CDE-4AF2-935F-1E352AD81D3B}">
      <text>
        <t>[Threaded comment]
Your version of Excel allows you to read this threaded comment; however, any edits to it will get removed if the file is opened in a newer version of Excel. Learn more: https://go.microsoft.com/fwlink/?linkid=870924
Comment:
    The Buyout Ratio represents the proportion of pension liabilities transferred through buyout. The transferred liabilities are all for retirees.</t>
      </text>
    </comment>
    <comment ref="B49" authorId="11" shapeId="0" xr:uid="{1A50F2E9-1880-48EF-AD4F-32FAD21D14FC}">
      <text>
        <t>[Threaded comment]
Your version of Excel allows you to read this threaded comment; however, any edits to it will get removed if the file is opened in a newer version of Excel. Learn more: https://go.microsoft.com/fwlink/?linkid=870924
Comment:
    The Buyout price as of transferred pension liabilities.</t>
      </text>
    </comment>
    <comment ref="B51" authorId="12" shapeId="0" xr:uid="{D3F31A3F-367B-4D51-84CE-5DDC9B7C2ABC}">
      <text>
        <t xml:space="preserve">[Threaded comment]
Your version of Excel allows you to read this threaded comment; however, any edits to it will get removed if the file is opened in a newer version of Excel. Learn more: https://go.microsoft.com/fwlink/?linkid=870924
Comment:
    If "no" to the previous question, the fundings from issuing equity and debt represent the proportion of extra funding source raised for the unfunded part of the transferred liabilities.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tc={570FA555-1156-4F54-BD68-959BC8E7ED4A}</author>
    <author>tc={866AE866-38EB-4C58-9FC0-D600ADF4D486}</author>
    <author>tc={B0125037-9ECF-4471-B6C3-0BB1C2DC8D80}</author>
  </authors>
  <commentList>
    <comment ref="B9" authorId="0" shapeId="0" xr:uid="{570FA555-1156-4F54-BD68-959BC8E7ED4A}">
      <text>
        <t>[Threaded comment]
Your version of Excel allows you to read this threaded comment; however, any edits to it will get removed if the file is opened in a newer version of Excel. Learn more: https://go.microsoft.com/fwlink/?linkid=870924
Comment:
    After buyout, we assume that the pension payouts will be linearly increased to the target pension payout in the 10th year. The target pension payout is approximately the same percentage of liability as the current one.</t>
      </text>
    </comment>
    <comment ref="B10" authorId="1" shapeId="0" xr:uid="{866AE866-38EB-4C58-9FC0-D600ADF4D486}">
      <text>
        <t>[Threaded comment]
Your version of Excel allows you to read this threaded comment; however, any edits to it will get removed if the file is opened in a newer version of Excel. Learn more: https://go.microsoft.com/fwlink/?linkid=870924
Comment:
    The assets required from the operating side to fund the buyout deal.</t>
      </text>
    </comment>
    <comment ref="B13" authorId="2" shapeId="0" xr:uid="{B0125037-9ECF-4471-B6C3-0BB1C2DC8D80}">
      <text>
        <t>[Threaded comment]
Your version of Excel allows you to read this threaded comment; however, any edits to it will get removed if the file is opened in a newer version of Excel. Learn more: https://go.microsoft.com/fwlink/?linkid=870924
Comment:
    The Pension contributions are tax deductible. We assume that only the tax adjusted new equity and debt are needed.</t>
      </text>
    </comment>
  </commentList>
</comments>
</file>

<file path=xl/sharedStrings.xml><?xml version="1.0" encoding="utf-8"?>
<sst xmlns="http://schemas.openxmlformats.org/spreadsheetml/2006/main" count="311" uniqueCount="169">
  <si>
    <t>Effects of Pension Plans on Corporate Valuation</t>
  </si>
  <si>
    <t>Case Studies Workbook</t>
  </si>
  <si>
    <t xml:space="preserve">Introduction </t>
  </si>
  <si>
    <t>This workbook accompanies the SOA Research Institute Report: "Effects of Pension Plans on Corporate Valuation".</t>
  </si>
  <si>
    <t xml:space="preserve">Its purpose is to illustrate hypothetical case studies with the report. </t>
  </si>
  <si>
    <t>There are five tabs described below:</t>
  </si>
  <si>
    <t>Readers may change parameter values in this tab for additional scenarios.</t>
  </si>
  <si>
    <t>2. "Valuation without Pension" tab evalulates the firm's value using the enterprise free cash flow (FCF) model, as if the firm has no pension plan.</t>
  </si>
  <si>
    <t>This tab provides a reference point for comparison purposes when the pension plan is incorporated into valuation.</t>
  </si>
  <si>
    <t>3. "Valuation with Pension" tab extends the previous tab by adding the pension component. Pension service cost and pension surplus/deficit items are explicitly identified in the framework.</t>
  </si>
  <si>
    <t>Pension cash flows are also projected, however, they are not used in an enterprise FCF valuation model except for the service cost.</t>
  </si>
  <si>
    <t>4. "Pension Derisking" tab helps study the impact of pension buyout on corporate value. Different buyout financing strategies are considered.</t>
  </si>
  <si>
    <t>5. "Cost of Capital" tab determines the weighted average cost of capital (WACC) used in each scenario based  Section 3.2 of the report.</t>
  </si>
  <si>
    <t xml:space="preserve">Disclaimer for Software: </t>
  </si>
  <si>
    <t>Important: This Excel Model ("Software") is the property of the Society of Actuaries (SOA) Research Institute and is protected under U.S. and international copyright laws.</t>
  </si>
  <si>
    <t>The Software has been developed for the benefit of actuaries FOR EDUCATIONAL USE ONLY, although others may find it useful. SOA Research Institute and the authors make the Software available to individual users for their personal use on a non–exclusive basis. No commercial use, reproduction or distribution is permitted whatsoever.</t>
  </si>
  <si>
    <t>SOA Research Institute and the authors make no warranty, guarantee, or representation, either expressed or implied, regarding the Software, including its quality, accuracy, reliability, or suitability, and HEREBY DISCLAIM ANY WARRANTY REGARDING THE SOFTWARE'S MERCHANTABILITY OR FITNESS FOR ANY PARTICULAR PURPOSE. SOA Research Institute and the authors make no warranty that the Software is free from errors, defects, worms, viruses or other elements or codes that manifest contaminating or destructive properties. In no event shall SOA Research Institute or the authors be liable for any damages (including any lost profits, lost savings, or direct, indirect, incidental, consequential or other damages) in connection with or resulting from the use, misuse, reliance on, or performance of any aspect of the Software including any instructions or documentation accompanying the Software. SOA Research Institute and the authors make no representation or warranty of non–infringement of proprietary rights of others with respect to the Software. The entire risk as to the uses, outputs, analyses, results and performance of the Software is assumed by the user. This Disclaimer applies regardless of whether the Software is used alone or with other software.</t>
  </si>
  <si>
    <t>The model, accompanying documentation, and methodologies contained herein do not represent an official position, statement, or endorsement on behalf of the Society of Actuaries Research Institute or its members, nor should the material be construed to do so. It is the product of a research effort commissioned by the Society of Actuaries Research Institute to add to the library of resource tools. The model is neither intended to preclude the use of other methodologies for any purpose nor provide a statement or position on the use, application, or preferability of other methodologies as compared to the methodology described herein.</t>
  </si>
  <si>
    <t>Copyright © 2026 by the Society of Actuaries Research Institute. All rights reserved.</t>
  </si>
  <si>
    <t>Valuation Inputs for a Hypothetical Firm</t>
  </si>
  <si>
    <t>Current Financials</t>
  </si>
  <si>
    <t xml:space="preserve"> </t>
  </si>
  <si>
    <t>Revenues (in $M)</t>
  </si>
  <si>
    <t>Operating Income or EBIT (in $M)</t>
  </si>
  <si>
    <t>Interest Expense (in $M)</t>
  </si>
  <si>
    <t>Book Value of Equity (in $M)</t>
  </si>
  <si>
    <t>Book Value of Debt (in $M)</t>
  </si>
  <si>
    <t>Cash and Equivalents (in $M)</t>
  </si>
  <si>
    <t>Number of Shares Outstanding (in $M)</t>
  </si>
  <si>
    <t>Current Stock Price</t>
  </si>
  <si>
    <t>Effective Tax Rate</t>
  </si>
  <si>
    <t>Marginal Tax Rate</t>
  </si>
  <si>
    <t>Average Maturity of Debt</t>
  </si>
  <si>
    <t>Operation Projection</t>
  </si>
  <si>
    <t>Revenue Growth Rate (Yrs1-5)</t>
  </si>
  <si>
    <t>Target Revenue Grow Rate</t>
  </si>
  <si>
    <t>Operating Margin (without pension service cost)</t>
  </si>
  <si>
    <t>Target Operating Margin</t>
  </si>
  <si>
    <t>Years of Convergence for Revenue</t>
  </si>
  <si>
    <t>Sales to Capital Ratio</t>
  </si>
  <si>
    <t>Market Parameters</t>
  </si>
  <si>
    <t>Risk-Free Rate</t>
  </si>
  <si>
    <t>Market Risk Premium</t>
  </si>
  <si>
    <t>Overall Market Beta</t>
  </si>
  <si>
    <t>Operating Asset Beta (Unlevered Beta)</t>
  </si>
  <si>
    <t>Debt Beta</t>
  </si>
  <si>
    <t>Current Pension Financials</t>
  </si>
  <si>
    <t>Pension Assets (in $M)</t>
  </si>
  <si>
    <t>Pension Liabilities (in $M)</t>
  </si>
  <si>
    <t>Service Cost (in $M)</t>
  </si>
  <si>
    <t>Service Cost Growth Rate</t>
  </si>
  <si>
    <t>Pension Normal Contribution (NC) (in $M)</t>
  </si>
  <si>
    <t>Pension NC Growth Rate</t>
  </si>
  <si>
    <t>Pension Deficit Amortized Factor</t>
  </si>
  <si>
    <t>Pension Benefit Payouts (in $M)</t>
  </si>
  <si>
    <t>Pension Payout Growth Rate</t>
  </si>
  <si>
    <t>Plan Administrative Cost Rate</t>
  </si>
  <si>
    <t>Pension Assets invested in Equity</t>
  </si>
  <si>
    <t>Pension Assets invested in Bonds</t>
  </si>
  <si>
    <t>Pension Assets invested in Money Market</t>
  </si>
  <si>
    <t>Surplus Excise Penalty Rate</t>
  </si>
  <si>
    <t>Pension Buyout Assumptions</t>
  </si>
  <si>
    <t>Buyout Ratio</t>
  </si>
  <si>
    <t>Buyout Price</t>
  </si>
  <si>
    <t>Buyout Using Pension Assets Only? Yes, 1; No, 0.</t>
  </si>
  <si>
    <t>Funding from Issuing Equity</t>
  </si>
  <si>
    <t>Funding from Issuing Debt</t>
  </si>
  <si>
    <t>Scenario 1: Corporate Valuation without Pension</t>
  </si>
  <si>
    <t>Enterprise CF and Overview</t>
  </si>
  <si>
    <t xml:space="preserve"> Year</t>
  </si>
  <si>
    <t>0</t>
  </si>
  <si>
    <t>1</t>
  </si>
  <si>
    <t>2</t>
  </si>
  <si>
    <t>3</t>
  </si>
  <si>
    <t>4</t>
  </si>
  <si>
    <t>5</t>
  </si>
  <si>
    <t>6</t>
  </si>
  <si>
    <t>7</t>
  </si>
  <si>
    <t>8</t>
  </si>
  <si>
    <t>9</t>
  </si>
  <si>
    <t>10</t>
  </si>
  <si>
    <t>Terminal Year</t>
  </si>
  <si>
    <t>Revenue Growth Rate</t>
  </si>
  <si>
    <t>Revenues</t>
  </si>
  <si>
    <t>Operating Margin</t>
  </si>
  <si>
    <t>Operating Income (or EBIT)</t>
  </si>
  <si>
    <t>Effective Tax Rate (tau)</t>
  </si>
  <si>
    <t>EBIT * (1 - tau) (or NOPAT)</t>
  </si>
  <si>
    <t>Invested Capital</t>
  </si>
  <si>
    <t>Return on Invested Capital (ROIC)</t>
  </si>
  <si>
    <t>Reinvestment (-)</t>
  </si>
  <si>
    <t>Free Cash Flow (FCF)</t>
  </si>
  <si>
    <t>Cost of Capital (WACC)</t>
  </si>
  <si>
    <t>Cumulative Discount Factor</t>
  </si>
  <si>
    <t>PV of FCF</t>
  </si>
  <si>
    <t>Summary</t>
  </si>
  <si>
    <t>Value</t>
  </si>
  <si>
    <t>PV of 10-Year FCFs</t>
  </si>
  <si>
    <t>Terminal Value</t>
  </si>
  <si>
    <t>PV of Terminal Value</t>
  </si>
  <si>
    <t>Value of Operating Assets</t>
  </si>
  <si>
    <t>Market Value of Debt (-)</t>
  </si>
  <si>
    <t>Cash and Equivalents</t>
  </si>
  <si>
    <t>Intrinsic Value of Equity</t>
  </si>
  <si>
    <t>Shares Outstanding</t>
  </si>
  <si>
    <t>Value Per Share</t>
  </si>
  <si>
    <t>Stock Price</t>
  </si>
  <si>
    <t xml:space="preserve">Stock Price as % of Value </t>
  </si>
  <si>
    <t>Scenario 2: Corporate Valuation With Pension</t>
  </si>
  <si>
    <t>Pension-Consolidated Enterprise CFs and Overview</t>
  </si>
  <si>
    <t>Operating Margin (w/o Pension)</t>
  </si>
  <si>
    <t>Pension Service Cost (-)</t>
  </si>
  <si>
    <t>EBIT (with Pension Adjustment)</t>
  </si>
  <si>
    <t>NOPAT</t>
  </si>
  <si>
    <t>ROIC</t>
  </si>
  <si>
    <t>Pension Surplus (Deficit)</t>
  </si>
  <si>
    <t>Tax and Penalty Adjusted Surplus</t>
  </si>
  <si>
    <t>Projected Pension Statement</t>
  </si>
  <si>
    <t>Year</t>
  </si>
  <si>
    <t>Pension Assets (BOY)</t>
  </si>
  <si>
    <t>Expected Asset Return</t>
  </si>
  <si>
    <t>Pension Contribution</t>
  </si>
  <si>
    <t>Pension Payments (-)</t>
  </si>
  <si>
    <t>Adminstrative Cost (-)</t>
  </si>
  <si>
    <t>Pension Assets (EOY)</t>
  </si>
  <si>
    <t>Pension Liabilities (BOY)</t>
  </si>
  <si>
    <t>Interest Cost</t>
  </si>
  <si>
    <t>Service Cost</t>
  </si>
  <si>
    <t>Pension Liabilities (EOY)</t>
  </si>
  <si>
    <t>Deficit (-)</t>
  </si>
  <si>
    <t>Scenario 3: Corporate Valuation after (Partial) Pension Buyout</t>
  </si>
  <si>
    <t xml:space="preserve">In this scenario, it is assumed that the firm seeks a buyout deal for its retirees and transferred 35% of its total pension liabilities. The firm closes the deal in two approaches: </t>
  </si>
  <si>
    <t>Buyout Effects</t>
  </si>
  <si>
    <t>After Buyout</t>
  </si>
  <si>
    <t>Pension Assets</t>
  </si>
  <si>
    <t>Pension Liabilities</t>
  </si>
  <si>
    <t>Target Pension Payouts in Yr 10</t>
  </si>
  <si>
    <t>Operating Assets Required</t>
  </si>
  <si>
    <t>Newly Issued Equity (Tax Saving Adjusted)</t>
  </si>
  <si>
    <t>Newly Added Shares</t>
  </si>
  <si>
    <t>Market Value of New Debt (Tax Saving Adjusted)</t>
  </si>
  <si>
    <t>Extra Interest Expense</t>
  </si>
  <si>
    <t>Weighted Average Cost of Capital (WACC) Calculation</t>
  </si>
  <si>
    <t>Beta and CAPM-based Cost of Capital</t>
  </si>
  <si>
    <t>Beta</t>
  </si>
  <si>
    <t>Cost of Capital</t>
  </si>
  <si>
    <t>Overall Market Equity</t>
  </si>
  <si>
    <t>Debt</t>
  </si>
  <si>
    <t>Pension Liablities (PL)</t>
  </si>
  <si>
    <t>Pension Assets (PA)</t>
  </si>
  <si>
    <t>-</t>
  </si>
  <si>
    <t>Target Firm Capital Structure</t>
  </si>
  <si>
    <t>Scenario 1/2</t>
  </si>
  <si>
    <t>Scenario 3</t>
  </si>
  <si>
    <t>Market Value of Stocks</t>
  </si>
  <si>
    <t>Market Value of Debt</t>
  </si>
  <si>
    <t>Pension Liabilities (PL)</t>
  </si>
  <si>
    <t>Scenario 1: WACC without Pension</t>
  </si>
  <si>
    <t xml:space="preserve">  </t>
  </si>
  <si>
    <t>Implied Equity Beta</t>
  </si>
  <si>
    <t>Weight</t>
  </si>
  <si>
    <t>Cost of Equity</t>
  </si>
  <si>
    <t>Cost of Debt</t>
  </si>
  <si>
    <t>WACC</t>
  </si>
  <si>
    <t>Scenario 2: WACC with Pension</t>
  </si>
  <si>
    <t>Consolidated Operating Assets (Tax Adjusted)</t>
  </si>
  <si>
    <t>Scenario 3: WACC after Pension Buyout</t>
  </si>
  <si>
    <t>1. "Input" tab provides all the parameters used for the corporate valuation with and without pensions, which includes a hypothetical firm's current financials and operation projections, market assumptions, as well as pension financial information. Some notes and explanations for variables can be found by hovering over their cells.</t>
  </si>
  <si>
    <t>1) using 35% of the pension assets and the rest are funded through issuing new equity and debt (can be any combination) and 2) fully using pension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</si>
</sst>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_(* #,##0_);_(* \(#,##0\);_(* &quot;-&quot;??_);_(@_)"/>
    <numFmt numFmtId="166" formatCode="0.0000"/>
    <numFmt numFmtId="167" formatCode="0.0%"/>
    <numFmt numFmtId="168" formatCode="0.000000%"/>
    <numFmt numFmtId="169" formatCode="0.0000%"/>
  </numFmts>
  <fonts count="17" x14ac:knownFonts="1">
    <font>
      <sz val="11"/>
      <color theme="1"/>
      <name val="Calibri Light"/>
      <family val="2"/>
      <scheme val="minor"/>
    </font>
    <font>
      <b/>
      <sz val="11"/>
      <color theme="1"/>
      <name val="Calibri Light"/>
      <family val="2"/>
      <scheme val="minor"/>
    </font>
    <font>
      <sz val="11"/>
      <color theme="1"/>
      <name val="Calibri Light"/>
      <family val="2"/>
      <scheme val="minor"/>
    </font>
    <font>
      <sz val="25"/>
      <color theme="4"/>
      <name val="Calibri Light"/>
      <family val="2"/>
      <scheme val="minor"/>
    </font>
    <font>
      <sz val="20"/>
      <color rgb="FFA5AC00"/>
      <name val="Calibri Light"/>
      <family val="2"/>
      <scheme val="minor"/>
    </font>
    <font>
      <b/>
      <sz val="9"/>
      <color rgb="FF000000"/>
      <name val="Calibri Light"/>
      <family val="2"/>
      <scheme val="minor"/>
    </font>
    <font>
      <sz val="9"/>
      <color rgb="FF000000"/>
      <name val="Calibri Light"/>
      <family val="2"/>
      <scheme val="minor"/>
    </font>
    <font>
      <sz val="11"/>
      <color rgb="FF000000"/>
      <name val="Calibri"/>
      <family val="2"/>
    </font>
    <font>
      <sz val="7.5"/>
      <color rgb="FF0D0D0D"/>
      <name val="Calibri Light"/>
      <family val="2"/>
      <scheme val="minor"/>
    </font>
    <font>
      <b/>
      <u/>
      <sz val="16"/>
      <color theme="4"/>
      <name val="Calibri Light"/>
      <family val="2"/>
      <scheme val="minor"/>
    </font>
    <font>
      <b/>
      <u/>
      <sz val="14"/>
      <color theme="4"/>
      <name val="Calibri Light"/>
      <family val="2"/>
      <scheme val="minor"/>
    </font>
    <font>
      <sz val="9"/>
      <name val="Calibri Light"/>
      <family val="2"/>
      <scheme val="minor"/>
    </font>
    <font>
      <sz val="9"/>
      <color theme="1"/>
      <name val="Calibri Light"/>
      <family val="2"/>
      <scheme val="minor"/>
    </font>
    <font>
      <b/>
      <sz val="9"/>
      <color rgb="FFFFFFFF"/>
      <name val="Calibri"/>
      <family val="2"/>
      <scheme val="major"/>
    </font>
    <font>
      <b/>
      <sz val="16"/>
      <color theme="4"/>
      <name val="Calibri Light"/>
      <family val="2"/>
      <scheme val="minor"/>
    </font>
    <font>
      <b/>
      <sz val="9"/>
      <color theme="1"/>
      <name val="Calibri Light"/>
      <family val="2"/>
      <scheme val="minor"/>
    </font>
    <font>
      <b/>
      <sz val="9"/>
      <name val="Calibri Light"/>
      <family val="2"/>
      <scheme val="minor"/>
    </font>
  </fonts>
  <fills count="4">
    <fill>
      <patternFill patternType="none"/>
    </fill>
    <fill>
      <patternFill patternType="gray125"/>
    </fill>
    <fill>
      <patternFill patternType="solid">
        <fgColor theme="4"/>
        <bgColor indexed="64"/>
      </patternFill>
    </fill>
    <fill>
      <patternFill patternType="solid">
        <fgColor theme="2"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2" fillId="0" borderId="0"/>
    <xf numFmtId="9" fontId="2" fillId="0" borderId="0"/>
  </cellStyleXfs>
  <cellXfs count="96">
    <xf numFmtId="0" fontId="0" fillId="0" borderId="0" xfId="0"/>
    <xf numFmtId="0" fontId="1" fillId="0" borderId="0" xfId="0" applyFont="1"/>
    <xf numFmtId="9" fontId="0" fillId="0" borderId="0" xfId="0" applyNumberFormat="1"/>
    <xf numFmtId="43" fontId="0" fillId="0" borderId="0" xfId="0" applyNumberFormat="1"/>
    <xf numFmtId="0" fontId="0" fillId="0" borderId="0" xfId="0" applyAlignment="1">
      <alignment horizontal="right"/>
    </xf>
    <xf numFmtId="168" fontId="0" fillId="0" borderId="0" xfId="0" applyNumberFormat="1"/>
    <xf numFmtId="0" fontId="0" fillId="0" borderId="0" xfId="0" applyAlignment="1">
      <alignment horizontal="left"/>
    </xf>
    <xf numFmtId="0" fontId="5" fillId="0" borderId="0" xfId="0" applyFont="1" applyAlignment="1">
      <alignment vertical="center" wrapText="1"/>
    </xf>
    <xf numFmtId="0" fontId="6" fillId="0" borderId="0" xfId="0" applyFont="1" applyAlignment="1">
      <alignment vertical="center" wrapText="1"/>
    </xf>
    <xf numFmtId="0" fontId="0" fillId="0" borderId="0" xfId="0" applyAlignment="1">
      <alignment wrapText="1"/>
    </xf>
    <xf numFmtId="0" fontId="7" fillId="0" borderId="0" xfId="0" applyFont="1"/>
    <xf numFmtId="0" fontId="3" fillId="0" borderId="0" xfId="0" applyFont="1" applyAlignment="1">
      <alignment wrapText="1"/>
    </xf>
    <xf numFmtId="0" fontId="4"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8" fillId="0" borderId="0" xfId="0" applyFont="1" applyAlignment="1">
      <alignment vertical="center" wrapText="1"/>
    </xf>
    <xf numFmtId="0" fontId="10" fillId="0" borderId="0" xfId="0" applyFont="1" applyAlignment="1">
      <alignment wrapText="1"/>
    </xf>
    <xf numFmtId="0" fontId="11" fillId="3" borderId="1" xfId="0" applyFont="1" applyFill="1" applyBorder="1" applyAlignment="1">
      <alignment vertical="center"/>
    </xf>
    <xf numFmtId="0" fontId="11" fillId="3" borderId="1" xfId="0" applyFont="1" applyFill="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center" vertical="center"/>
    </xf>
    <xf numFmtId="0" fontId="13" fillId="2" borderId="1" xfId="0" applyFont="1" applyFill="1" applyBorder="1" applyAlignment="1">
      <alignment horizontal="center" vertical="center"/>
    </xf>
    <xf numFmtId="3" fontId="11" fillId="3" borderId="1" xfId="0" applyNumberFormat="1" applyFont="1" applyFill="1" applyBorder="1" applyAlignment="1">
      <alignment horizontal="center" vertical="center"/>
    </xf>
    <xf numFmtId="3" fontId="12" fillId="0" borderId="1" xfId="0" applyNumberFormat="1" applyFont="1" applyBorder="1" applyAlignment="1">
      <alignment horizontal="center" vertical="center"/>
    </xf>
    <xf numFmtId="9" fontId="11" fillId="3" borderId="1" xfId="0" applyNumberFormat="1" applyFont="1" applyFill="1" applyBorder="1" applyAlignment="1">
      <alignment horizontal="center" vertical="center"/>
    </xf>
    <xf numFmtId="9" fontId="12" fillId="0" borderId="1" xfId="0" applyNumberFormat="1" applyFont="1" applyBorder="1" applyAlignment="1">
      <alignment horizontal="center" vertical="center"/>
    </xf>
    <xf numFmtId="1" fontId="11" fillId="3" borderId="1" xfId="0" applyNumberFormat="1" applyFont="1" applyFill="1" applyBorder="1" applyAlignment="1">
      <alignment horizontal="center" vertical="center"/>
    </xf>
    <xf numFmtId="10" fontId="11" fillId="3" borderId="1" xfId="0" applyNumberFormat="1" applyFont="1" applyFill="1" applyBorder="1" applyAlignment="1">
      <alignment horizontal="center" vertical="center"/>
    </xf>
    <xf numFmtId="2" fontId="11" fillId="3" borderId="1" xfId="0" applyNumberFormat="1" applyFont="1" applyFill="1" applyBorder="1" applyAlignment="1">
      <alignment horizontal="center" vertical="center"/>
    </xf>
    <xf numFmtId="2" fontId="12" fillId="0" borderId="1" xfId="0" applyNumberFormat="1" applyFont="1" applyBorder="1" applyAlignment="1">
      <alignment horizontal="center" vertical="center"/>
    </xf>
    <xf numFmtId="164" fontId="11" fillId="3" borderId="1" xfId="0" applyNumberFormat="1" applyFont="1" applyFill="1" applyBorder="1" applyAlignment="1">
      <alignment horizontal="center" vertical="center"/>
    </xf>
    <xf numFmtId="9" fontId="13" fillId="2" borderId="1" xfId="0" applyNumberFormat="1" applyFont="1" applyFill="1" applyBorder="1" applyAlignment="1">
      <alignment horizontal="center" vertical="center"/>
    </xf>
    <xf numFmtId="9" fontId="12" fillId="0" borderId="1" xfId="2" applyFont="1" applyBorder="1" applyAlignment="1">
      <alignment horizontal="center" vertical="center"/>
    </xf>
    <xf numFmtId="9" fontId="11" fillId="3" borderId="1" xfId="2" applyFont="1" applyFill="1" applyBorder="1" applyAlignment="1">
      <alignment horizontal="center" vertical="center"/>
    </xf>
    <xf numFmtId="165" fontId="12" fillId="0" borderId="1" xfId="1" applyNumberFormat="1" applyFont="1" applyBorder="1" applyAlignment="1">
      <alignment horizontal="center" vertical="center"/>
    </xf>
    <xf numFmtId="165" fontId="12" fillId="0" borderId="1" xfId="0" applyNumberFormat="1" applyFont="1" applyBorder="1" applyAlignment="1">
      <alignment horizontal="center" vertical="center"/>
    </xf>
    <xf numFmtId="10" fontId="11" fillId="3" borderId="1" xfId="2" applyNumberFormat="1" applyFont="1" applyFill="1" applyBorder="1" applyAlignment="1">
      <alignment horizontal="center" vertical="center"/>
    </xf>
    <xf numFmtId="165" fontId="11" fillId="3" borderId="1" xfId="0" applyNumberFormat="1" applyFont="1" applyFill="1" applyBorder="1" applyAlignment="1">
      <alignment horizontal="center" vertical="center"/>
    </xf>
    <xf numFmtId="10" fontId="12" fillId="0" borderId="1" xfId="0" applyNumberFormat="1" applyFont="1" applyBorder="1" applyAlignment="1">
      <alignment horizontal="center" vertical="center"/>
    </xf>
    <xf numFmtId="166" fontId="11" fillId="3" borderId="1" xfId="0" applyNumberFormat="1" applyFont="1" applyFill="1" applyBorder="1" applyAlignment="1">
      <alignment horizontal="center" vertical="center"/>
    </xf>
    <xf numFmtId="43" fontId="12" fillId="0" borderId="1" xfId="0" applyNumberFormat="1" applyFont="1" applyBorder="1" applyAlignment="1">
      <alignment horizontal="center" vertical="center"/>
    </xf>
    <xf numFmtId="43" fontId="11" fillId="3" borderId="1" xfId="0" applyNumberFormat="1" applyFont="1" applyFill="1" applyBorder="1" applyAlignment="1">
      <alignment horizontal="center" vertical="center"/>
    </xf>
    <xf numFmtId="165" fontId="11" fillId="3" borderId="1" xfId="1" applyNumberFormat="1" applyFont="1" applyFill="1" applyBorder="1" applyAlignment="1">
      <alignment horizontal="center" vertical="center"/>
    </xf>
    <xf numFmtId="10" fontId="12" fillId="0" borderId="1" xfId="2" applyNumberFormat="1" applyFont="1" applyBorder="1" applyAlignment="1">
      <alignment horizontal="center" vertical="center"/>
    </xf>
    <xf numFmtId="165" fontId="13" fillId="2" borderId="1" xfId="1" applyNumberFormat="1" applyFont="1" applyFill="1" applyBorder="1" applyAlignment="1">
      <alignment horizontal="center" vertical="center"/>
    </xf>
    <xf numFmtId="0" fontId="10" fillId="0" borderId="0" xfId="0" applyFont="1"/>
    <xf numFmtId="0" fontId="14" fillId="0" borderId="0" xfId="0" applyFont="1"/>
    <xf numFmtId="9" fontId="11" fillId="3" borderId="1" xfId="0" applyNumberFormat="1" applyFont="1" applyFill="1" applyBorder="1" applyAlignment="1">
      <alignment vertical="center"/>
    </xf>
    <xf numFmtId="167" fontId="11" fillId="3" borderId="1" xfId="0" applyNumberFormat="1" applyFont="1" applyFill="1" applyBorder="1" applyAlignment="1">
      <alignment vertical="center"/>
    </xf>
    <xf numFmtId="3" fontId="12" fillId="0" borderId="1" xfId="0" applyNumberFormat="1" applyFont="1" applyBorder="1" applyAlignment="1">
      <alignment vertical="center"/>
    </xf>
    <xf numFmtId="43" fontId="12" fillId="0" borderId="1" xfId="1" applyFont="1" applyBorder="1" applyAlignment="1">
      <alignment vertical="center"/>
    </xf>
    <xf numFmtId="10" fontId="11" fillId="3" borderId="1" xfId="0" applyNumberFormat="1" applyFont="1" applyFill="1" applyBorder="1" applyAlignment="1">
      <alignment vertical="center"/>
    </xf>
    <xf numFmtId="165" fontId="12" fillId="0" borderId="1" xfId="1" applyNumberFormat="1" applyFont="1" applyBorder="1" applyAlignment="1">
      <alignment vertical="center"/>
    </xf>
    <xf numFmtId="165" fontId="12" fillId="0" borderId="1" xfId="0" applyNumberFormat="1" applyFont="1" applyBorder="1" applyAlignment="1">
      <alignment vertical="center"/>
    </xf>
    <xf numFmtId="2" fontId="11" fillId="3" borderId="1" xfId="0" applyNumberFormat="1" applyFont="1" applyFill="1" applyBorder="1" applyAlignment="1">
      <alignment vertical="center"/>
    </xf>
    <xf numFmtId="10" fontId="11" fillId="3" borderId="1" xfId="2" applyNumberFormat="1" applyFont="1" applyFill="1" applyBorder="1" applyAlignment="1">
      <alignment vertical="center"/>
    </xf>
    <xf numFmtId="165" fontId="11" fillId="3" borderId="1" xfId="0" applyNumberFormat="1" applyFont="1" applyFill="1" applyBorder="1" applyAlignment="1">
      <alignment vertical="center"/>
    </xf>
    <xf numFmtId="10" fontId="12" fillId="0" borderId="1" xfId="0" applyNumberFormat="1" applyFont="1" applyBorder="1" applyAlignment="1">
      <alignment vertical="center"/>
    </xf>
    <xf numFmtId="166" fontId="11" fillId="3" borderId="1" xfId="0" applyNumberFormat="1" applyFont="1" applyFill="1" applyBorder="1" applyAlignment="1">
      <alignment vertical="center"/>
    </xf>
    <xf numFmtId="43" fontId="12" fillId="0" borderId="1" xfId="0" applyNumberFormat="1" applyFont="1" applyBorder="1" applyAlignment="1">
      <alignment vertical="center"/>
    </xf>
    <xf numFmtId="9" fontId="11" fillId="3" borderId="1" xfId="2" applyFont="1" applyFill="1" applyBorder="1" applyAlignment="1">
      <alignment horizontal="right" vertical="center"/>
    </xf>
    <xf numFmtId="0" fontId="11" fillId="3" borderId="1" xfId="0" applyFont="1" applyFill="1" applyBorder="1" applyAlignment="1">
      <alignment horizontal="right" vertical="center"/>
    </xf>
    <xf numFmtId="165" fontId="11" fillId="3" borderId="1" xfId="1" applyNumberFormat="1" applyFont="1" applyFill="1" applyBorder="1" applyAlignment="1">
      <alignment horizontal="right" vertical="center"/>
    </xf>
    <xf numFmtId="0" fontId="12" fillId="0" borderId="1" xfId="0" applyFont="1" applyBorder="1" applyAlignment="1">
      <alignment horizontal="right" vertical="center"/>
    </xf>
    <xf numFmtId="165" fontId="12" fillId="0" borderId="1" xfId="1" applyNumberFormat="1" applyFont="1" applyBorder="1" applyAlignment="1">
      <alignment horizontal="right" vertical="center"/>
    </xf>
    <xf numFmtId="3" fontId="12" fillId="0" borderId="1" xfId="0" applyNumberFormat="1" applyFont="1" applyBorder="1" applyAlignment="1">
      <alignment horizontal="right" vertical="center"/>
    </xf>
    <xf numFmtId="3" fontId="11" fillId="3" borderId="1" xfId="0" applyNumberFormat="1" applyFont="1" applyFill="1" applyBorder="1" applyAlignment="1">
      <alignment horizontal="right" vertical="center"/>
    </xf>
    <xf numFmtId="9" fontId="11" fillId="3" borderId="1" xfId="0" applyNumberFormat="1" applyFont="1" applyFill="1" applyBorder="1" applyAlignment="1">
      <alignment horizontal="right" vertical="center"/>
    </xf>
    <xf numFmtId="167" fontId="11" fillId="3" borderId="1" xfId="0" applyNumberFormat="1" applyFont="1" applyFill="1" applyBorder="1" applyAlignment="1">
      <alignment horizontal="right" vertical="center"/>
    </xf>
    <xf numFmtId="43" fontId="12" fillId="0" borderId="1" xfId="1" applyFont="1" applyBorder="1" applyAlignment="1">
      <alignment horizontal="right" vertical="center"/>
    </xf>
    <xf numFmtId="10" fontId="11" fillId="3" borderId="1" xfId="0" applyNumberFormat="1" applyFont="1" applyFill="1" applyBorder="1" applyAlignment="1">
      <alignment horizontal="right" vertical="center"/>
    </xf>
    <xf numFmtId="9" fontId="12" fillId="0" borderId="1" xfId="0" applyNumberFormat="1" applyFont="1" applyBorder="1" applyAlignment="1">
      <alignment horizontal="right" vertical="center"/>
    </xf>
    <xf numFmtId="167" fontId="12" fillId="0" borderId="1" xfId="0" applyNumberFormat="1" applyFont="1" applyBorder="1" applyAlignment="1">
      <alignment horizontal="right" vertical="center"/>
    </xf>
    <xf numFmtId="165" fontId="11" fillId="3" borderId="1" xfId="0" applyNumberFormat="1" applyFont="1" applyFill="1" applyBorder="1" applyAlignment="1">
      <alignment horizontal="right" vertical="center"/>
    </xf>
    <xf numFmtId="2" fontId="12" fillId="0" borderId="1" xfId="0" applyNumberFormat="1" applyFont="1" applyBorder="1" applyAlignment="1">
      <alignment horizontal="right" vertical="center"/>
    </xf>
    <xf numFmtId="43" fontId="11" fillId="3" borderId="1" xfId="1" applyFont="1" applyFill="1" applyBorder="1" applyAlignment="1">
      <alignment horizontal="right" vertical="center"/>
    </xf>
    <xf numFmtId="10" fontId="12" fillId="0" borderId="1" xfId="2" applyNumberFormat="1" applyFont="1" applyBorder="1" applyAlignment="1">
      <alignment horizontal="right" vertical="center"/>
    </xf>
    <xf numFmtId="165" fontId="12" fillId="0" borderId="1" xfId="0" applyNumberFormat="1" applyFont="1" applyBorder="1" applyAlignment="1">
      <alignment horizontal="right" vertical="center"/>
    </xf>
    <xf numFmtId="166" fontId="12" fillId="0" borderId="1" xfId="0" applyNumberFormat="1" applyFont="1" applyBorder="1" applyAlignment="1">
      <alignment horizontal="right" vertical="center"/>
    </xf>
    <xf numFmtId="43" fontId="11" fillId="3" borderId="1" xfId="0" applyNumberFormat="1" applyFont="1" applyFill="1" applyBorder="1" applyAlignment="1">
      <alignment horizontal="right" vertical="center"/>
    </xf>
    <xf numFmtId="9" fontId="12" fillId="0" borderId="1" xfId="2" applyFont="1" applyBorder="1" applyAlignment="1">
      <alignment horizontal="right" vertical="center"/>
    </xf>
    <xf numFmtId="0" fontId="15" fillId="0" borderId="1" xfId="0" applyFont="1" applyBorder="1" applyAlignment="1">
      <alignment vertical="center"/>
    </xf>
    <xf numFmtId="43" fontId="16" fillId="3" borderId="1" xfId="0" applyNumberFormat="1" applyFont="1" applyFill="1" applyBorder="1" applyAlignment="1">
      <alignment horizontal="center" vertical="center"/>
    </xf>
    <xf numFmtId="0" fontId="11" fillId="3" borderId="3" xfId="0" applyFont="1" applyFill="1" applyBorder="1" applyAlignment="1">
      <alignment vertical="center"/>
    </xf>
    <xf numFmtId="0" fontId="11" fillId="3" borderId="3" xfId="0" applyFont="1" applyFill="1" applyBorder="1" applyAlignment="1">
      <alignment horizontal="right" vertical="center"/>
    </xf>
    <xf numFmtId="165" fontId="11" fillId="3" borderId="3" xfId="1" applyNumberFormat="1" applyFont="1" applyFill="1" applyBorder="1" applyAlignment="1">
      <alignment horizontal="right" vertical="center"/>
    </xf>
    <xf numFmtId="0" fontId="15" fillId="0" borderId="2" xfId="0" applyFont="1" applyBorder="1" applyAlignment="1">
      <alignment vertical="center"/>
    </xf>
    <xf numFmtId="3" fontId="15" fillId="0" borderId="2" xfId="0" applyNumberFormat="1" applyFont="1" applyBorder="1" applyAlignment="1">
      <alignment horizontal="right" vertical="center"/>
    </xf>
    <xf numFmtId="165" fontId="15" fillId="0" borderId="2" xfId="1" applyNumberFormat="1" applyFont="1" applyBorder="1" applyAlignment="1">
      <alignment horizontal="right" vertical="center"/>
    </xf>
    <xf numFmtId="0" fontId="16" fillId="3" borderId="2" xfId="0" applyFont="1" applyFill="1" applyBorder="1" applyAlignment="1">
      <alignment vertical="center"/>
    </xf>
    <xf numFmtId="3" fontId="16" fillId="3" borderId="2" xfId="0" applyNumberFormat="1" applyFont="1" applyFill="1" applyBorder="1" applyAlignment="1">
      <alignment horizontal="right" vertical="center"/>
    </xf>
    <xf numFmtId="165" fontId="16" fillId="3" borderId="2" xfId="1" applyNumberFormat="1" applyFont="1" applyFill="1" applyBorder="1" applyAlignment="1">
      <alignment horizontal="right" vertical="center"/>
    </xf>
    <xf numFmtId="0" fontId="15" fillId="0" borderId="4" xfId="0" applyFont="1" applyBorder="1" applyAlignment="1">
      <alignment vertical="center"/>
    </xf>
    <xf numFmtId="165" fontId="15" fillId="0" borderId="4" xfId="1" applyNumberFormat="1" applyFont="1" applyBorder="1" applyAlignment="1">
      <alignment horizontal="right" vertical="center"/>
    </xf>
    <xf numFmtId="169" fontId="15" fillId="0" borderId="1" xfId="2" applyNumberFormat="1" applyFont="1" applyBorder="1" applyAlignment="1">
      <alignment horizontal="center" vertical="center"/>
    </xf>
    <xf numFmtId="169" fontId="15" fillId="0" borderId="1" xfId="2" applyNumberFormat="1" applyFont="1" applyBorder="1" applyAlignment="1">
      <alignment horizontal="right" vertical="center"/>
    </xf>
  </cellXfs>
  <cellStyles count="3">
    <cellStyle name="Comma" xfId="1" builtinId="3"/>
    <cellStyle name="Normal" xfId="0" builtinId="0"/>
    <cellStyle name="Percent" xfId="2" builtinId="5"/>
  </cellStyles>
  <dxfs count="88">
    <dxf>
      <alignment horizontal="right" vertical="center" textRotation="0" wrapText="0" indent="0" justifyLastLine="0" shrinkToFit="0" readingOrder="0"/>
    </dxf>
    <dxf>
      <border outline="0">
        <right style="thin">
          <color indexed="64"/>
        </right>
      </border>
    </dxf>
    <dxf>
      <alignment horizontal="right" vertical="center" textRotation="0" wrapText="0" indent="0" justifyLastLine="0" shrinkToFit="0" readingOrder="0"/>
    </dxf>
    <dxf>
      <border outline="0">
        <right style="thin">
          <color indexed="64"/>
        </right>
      </border>
    </dxf>
    <dxf>
      <numFmt numFmtId="165" formatCode="_(* #,##0_);_(* \(#,##0\);_(* &quot;-&quot;??_);_(@_)"/>
      <alignment horizontal="right" vertical="bottom"/>
    </dxf>
    <dxf>
      <font>
        <strike val="0"/>
        <condense val="0"/>
        <extend val="0"/>
        <outline val="0"/>
        <shadow val="0"/>
        <vertAlign val="baseline"/>
        <sz val="11"/>
        <color theme="1"/>
        <name val="Calibri Light"/>
        <family val="2"/>
        <scheme val="minor"/>
      </font>
      <numFmt numFmtId="165" formatCode="_(* #,##0_);_(* \(#,##0\);_(* &quot;-&quot;??_);_(@_)"/>
      <alignment horizontal="right" vertical="bottom"/>
    </dxf>
    <dxf>
      <numFmt numFmtId="14" formatCode="0.00%"/>
      <alignment horizontal="right" vertical="bottom"/>
    </dxf>
    <dxf>
      <numFmt numFmtId="2" formatCode="0.00"/>
      <alignment horizontal="right" vertical="bottom"/>
    </dxf>
    <dxf>
      <font>
        <strike val="0"/>
        <condense val="0"/>
        <extend val="0"/>
        <outline val="0"/>
        <shadow val="0"/>
        <vertAlign val="baseline"/>
        <sz val="11"/>
        <color theme="1"/>
        <name val="Calibri Light"/>
        <family val="2"/>
        <scheme val="minor"/>
      </font>
      <numFmt numFmtId="165" formatCode="_(* #,##0_);_(* \(#,##0\);_(* &quot;-&quot;??_);_(@_)"/>
    </dxf>
    <dxf>
      <font>
        <strike val="0"/>
        <condense val="0"/>
        <extend val="0"/>
        <outline val="0"/>
        <shadow val="0"/>
        <vertAlign val="baseline"/>
        <sz val="11"/>
        <color theme="1"/>
        <name val="Calibri Light"/>
        <family val="2"/>
        <scheme val="minor"/>
      </font>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right style="thin">
          <color indexed="64"/>
        </right>
      </border>
    </dxf>
    <dxf>
      <border outline="0">
        <right style="thin">
          <color indexed="64"/>
        </right>
      </border>
    </dxf>
    <dxf>
      <font>
        <strike val="0"/>
        <condense val="0"/>
        <extend val="0"/>
        <outline val="0"/>
        <shadow val="0"/>
        <vertAlign val="baseline"/>
        <sz val="11"/>
        <color rgb="FF000000"/>
        <name val="Calibri"/>
        <family val="2"/>
      </font>
    </dxf>
    <dxf>
      <font>
        <i/>
      </font>
    </dxf>
    <dxf>
      <numFmt numFmtId="35" formatCode="_(* #,##0.00_);_(* \(#,##0.00\);_(* &quot;-&quot;??_);_(@_)"/>
    </dxf>
    <dxf>
      <alignment horizontal="right" vertical="center" textRotation="0" wrapText="0" indent="0" justifyLastLine="0" shrinkToFit="0" readingOrder="0"/>
      <border outline="0">
        <left style="thin">
          <color indexed="64"/>
        </lef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right style="thin">
          <color indexed="64"/>
        </right>
      </border>
    </dxf>
    <dxf>
      <alignment horizontal="right" vertical="bottom"/>
      <border outline="0">
        <right style="thin">
          <color indexed="64"/>
        </right>
      </border>
    </dxf>
    <dxf>
      <border outline="0">
        <bottom style="medium">
          <color rgb="FF000000"/>
        </bottom>
      </border>
    </dxf>
    <dxf>
      <font>
        <i/>
        <strike val="0"/>
        <condense val="0"/>
        <extend val="0"/>
        <outline val="0"/>
        <shadow val="0"/>
        <vertAlign val="baseline"/>
        <sz val="12"/>
        <color auto="1"/>
        <name val="Times"/>
        <family val="1"/>
      </font>
      <alignment horizontal="right" vertical="bottom"/>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font>
        <strike val="0"/>
        <condense val="0"/>
        <extend val="0"/>
        <outline val="0"/>
        <shadow val="0"/>
        <vertAlign val="baseline"/>
        <sz val="11"/>
        <color theme="1"/>
        <name val="Calibri Light"/>
        <family val="2"/>
        <scheme val="minor"/>
      </font>
      <numFmt numFmtId="165" formatCode="_(* #,##0_);_(* \(#,##0\);_(* &quot;-&quot;??_);_(@_)"/>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right style="thin">
          <color indexed="64"/>
        </right>
      </border>
    </dxf>
    <dxf>
      <border outline="0">
        <right style="thin">
          <color indexed="64"/>
        </right>
      </border>
    </dxf>
    <dxf>
      <font>
        <strike val="0"/>
        <condense val="0"/>
        <extend val="0"/>
        <outline val="0"/>
        <shadow val="0"/>
        <vertAlign val="baseline"/>
        <sz val="11"/>
        <color theme="1"/>
        <name val="Calibri Light"/>
        <family val="2"/>
        <scheme val="minor"/>
      </font>
    </dxf>
    <dxf>
      <font>
        <i/>
      </font>
    </dxf>
    <dxf>
      <numFmt numFmtId="35" formatCode="_(* #,##0.00_);_(* \(#,##0.00\);_(* &quot;-&quot;??_);_(@_)"/>
    </dxf>
    <dxf>
      <alignment horizontal="right" vertical="center" textRotation="0" wrapText="0" indent="0" justifyLastLine="0" shrinkToFit="0" readingOrder="0"/>
      <border outline="0">
        <left style="thin">
          <color indexed="64"/>
        </lef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left style="thin">
          <color indexed="64"/>
        </left>
        <right style="thin">
          <color indexed="64"/>
        </right>
      </border>
    </dxf>
    <dxf>
      <alignment horizontal="right" vertical="center" textRotation="0" wrapText="0" indent="0" justifyLastLine="0" shrinkToFit="0" readingOrder="0"/>
      <border outline="0">
        <right style="thin">
          <color indexed="64"/>
        </right>
      </border>
    </dxf>
    <dxf>
      <alignment horizontal="right" vertical="bottom"/>
      <border outline="0">
        <right style="thin">
          <color indexed="64"/>
        </right>
      </border>
    </dxf>
    <dxf>
      <border outline="0">
        <bottom style="medium">
          <color rgb="FF000000"/>
        </bottom>
      </border>
    </dxf>
    <dxf>
      <font>
        <i/>
        <strike val="0"/>
        <condense val="0"/>
        <extend val="0"/>
        <outline val="0"/>
        <shadow val="0"/>
        <vertAlign val="baseline"/>
        <sz val="12"/>
        <color auto="1"/>
        <name val="Times"/>
        <family val="1"/>
      </font>
      <alignment horizontal="right" vertical="bottom"/>
    </dxf>
    <dxf>
      <numFmt numFmtId="35" formatCode="_(* #,##0.00_);_(* \(#,##0.00\);_(* &quot;-&quot;??_);_(@_)"/>
    </dxf>
    <dxf>
      <alignment horizontal="general" vertical="center" textRotation="0" wrapText="0" indent="0" justifyLastLine="0" shrinkToFit="0" readingOrder="0"/>
      <border outline="0">
        <left style="thin">
          <color indexed="64"/>
        </left>
      </border>
    </dxf>
    <dxf>
      <alignment horizontal="general" vertical="center" textRotation="0" wrapText="0" indent="0" justifyLastLine="0" shrinkToFit="0" readingOrder="0"/>
      <border outline="0">
        <left style="thin">
          <color indexed="64"/>
        </left>
        <right style="thin">
          <color indexed="64"/>
        </right>
      </border>
    </dxf>
    <dxf>
      <alignment horizontal="general" vertical="center" textRotation="0" wrapText="0" indent="0" justifyLastLine="0" shrinkToFit="0" readingOrder="0"/>
      <border outline="0">
        <left style="thin">
          <color indexed="64"/>
        </left>
        <right style="thin">
          <color indexed="64"/>
        </right>
      </border>
    </dxf>
    <dxf>
      <alignment horizontal="general" vertical="center" textRotation="0" wrapText="0" indent="0" justifyLastLine="0" shrinkToFit="0" readingOrder="0"/>
      <border outline="0">
        <left style="thin">
          <color indexed="64"/>
        </left>
        <right style="thin">
          <color indexed="64"/>
        </right>
      </border>
    </dxf>
    <dxf>
      <alignment horizontal="general" vertical="center" textRotation="0" wrapText="0" indent="0" justifyLastLine="0" shrinkToFit="0" readingOrder="0"/>
      <border outline="0">
        <left style="thin">
          <color indexed="64"/>
        </left>
        <right style="thin">
          <color indexed="64"/>
        </right>
      </border>
    </dxf>
    <dxf>
      <alignment horizontal="general" vertical="center" textRotation="0" wrapText="0" indent="0" justifyLastLine="0" shrinkToFit="0" readingOrder="0"/>
      <border outline="0">
        <left style="thin">
          <color indexed="64"/>
        </left>
        <right style="thin">
          <color indexed="64"/>
        </right>
      </border>
    </dxf>
    <dxf>
      <alignment horizontal="general" vertical="center" textRotation="0" wrapText="0" indent="0" justifyLastLine="0" shrinkToFit="0" readingOrder="0"/>
      <border outline="0">
        <left style="thin">
          <color indexed="64"/>
        </left>
        <right style="thin">
          <color indexed="64"/>
        </right>
      </border>
    </dxf>
    <dxf>
      <alignment horizontal="general" vertical="center" textRotation="0" wrapText="0" indent="0" justifyLastLine="0" shrinkToFit="0" readingOrder="0"/>
      <border outline="0">
        <left style="thin">
          <color indexed="64"/>
        </left>
        <right style="thin">
          <color indexed="64"/>
        </right>
      </border>
    </dxf>
    <dxf>
      <alignment horizontal="general" vertical="center" textRotation="0" wrapText="0" indent="0" justifyLastLine="0" shrinkToFit="0" readingOrder="0"/>
      <border outline="0">
        <left style="thin">
          <color indexed="64"/>
        </left>
        <right style="thin">
          <color indexed="64"/>
        </right>
      </border>
    </dxf>
    <dxf>
      <alignment horizontal="general" vertical="center" textRotation="0" wrapText="0" indent="0" justifyLastLine="0" shrinkToFit="0" readingOrder="0"/>
      <border outline="0">
        <left style="thin">
          <color indexed="64"/>
        </left>
        <right style="thin">
          <color indexed="64"/>
        </right>
      </border>
    </dxf>
    <dxf>
      <alignment horizontal="general" vertical="center" textRotation="0" wrapText="0" indent="0" justifyLastLine="0" shrinkToFit="0" readingOrder="0"/>
      <border outline="0">
        <left style="thin">
          <color indexed="64"/>
        </left>
        <right style="thin">
          <color indexed="64"/>
        </right>
      </border>
    </dxf>
    <dxf>
      <alignment horizontal="general" vertical="center" textRotation="0" wrapText="0" indent="0" justifyLastLine="0" shrinkToFit="0" readingOrder="0"/>
      <border outline="0">
        <right style="thin">
          <color indexed="64"/>
        </right>
      </border>
    </dxf>
    <dxf>
      <alignment horizontal="right" vertical="bottom"/>
      <border outline="0">
        <right style="thin">
          <color indexed="64"/>
        </right>
      </border>
    </dxf>
    <dxf>
      <border outline="0">
        <bottom style="medium">
          <color indexed="64"/>
        </bottom>
      </border>
    </dxf>
    <dxf>
      <font>
        <i/>
        <strike val="0"/>
        <condense val="0"/>
        <extend val="0"/>
        <outline val="0"/>
        <shadow val="0"/>
        <vertAlign val="baseline"/>
        <sz val="12"/>
        <color auto="1"/>
        <name val="Times"/>
        <family val="1"/>
      </font>
      <alignment horizontal="right" vertical="bottom"/>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1</xdr:row>
      <xdr:rowOff>19050</xdr:rowOff>
    </xdr:from>
    <xdr:to>
      <xdr:col>0</xdr:col>
      <xdr:colOff>1362075</xdr:colOff>
      <xdr:row>3</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66700" y="209550"/>
          <a:ext cx="1095375" cy="533400"/>
        </a:xfrm>
        <a:prstGeom prst="rect">
          <a:avLst/>
        </a:prstGeom>
        <a:noFill/>
        <a:ln>
          <a:prstDash val="solid"/>
        </a:ln>
      </xdr:spPr>
    </xdr:pic>
    <xdr:clientData/>
  </xdr:twoCellAnchor>
</xdr:wsDr>
</file>

<file path=xl/persons/person.xml><?xml version="1.0" encoding="utf-8"?>
<personList xmlns="http://schemas.microsoft.com/office/spreadsheetml/2018/threadedcomments" xmlns:x="http://schemas.openxmlformats.org/spreadsheetml/2006/main">
  <person displayName="Barbara Scott" id="{8B4F3E15-39DB-4B85-95AD-2F3AD097D930}" userId="S::BScott@soa.org::1cbdc08c-9985-49ea-9382-eea200101d2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 displayName="Table5" ref="A3:B14" totalsRowShown="0">
  <autoFilter ref="A3:B14" xr:uid="{00000000-0009-0000-0100-000001000000}">
    <filterColumn colId="0" hiddenButton="1"/>
    <filterColumn colId="1" hiddenButton="1"/>
  </autoFilter>
  <tableColumns count="2">
    <tableColumn id="1" xr3:uid="{00000000-0010-0000-0000-000001000000}" name="Current Financials"/>
    <tableColumn id="2" xr3:uid="{00000000-0010-0000-0000-000002000000}" name=" "/>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5" displayName="Table15" ref="A39:L51" totalsRowShown="0" headerRowDxfId="53" dataDxfId="52" dataCellStyle="Comma">
  <autoFilter ref="A39:L51"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900-000001000000}" name="Year" dataDxfId="51"/>
    <tableColumn id="2" xr3:uid="{00000000-0010-0000-0900-000002000000}" name="0" dataDxfId="50"/>
    <tableColumn id="3" xr3:uid="{00000000-0010-0000-0900-000003000000}" name="1" dataDxfId="49" dataCellStyle="Comma"/>
    <tableColumn id="4" xr3:uid="{00000000-0010-0000-0900-000004000000}" name="2" dataDxfId="48" dataCellStyle="Comma"/>
    <tableColumn id="5" xr3:uid="{00000000-0010-0000-0900-000005000000}" name="3" dataDxfId="47" dataCellStyle="Comma"/>
    <tableColumn id="6" xr3:uid="{00000000-0010-0000-0900-000006000000}" name="4" dataDxfId="46" dataCellStyle="Comma"/>
    <tableColumn id="7" xr3:uid="{00000000-0010-0000-0900-000007000000}" name="5" dataDxfId="45" dataCellStyle="Comma"/>
    <tableColumn id="8" xr3:uid="{00000000-0010-0000-0900-000008000000}" name="6" dataDxfId="44" dataCellStyle="Comma"/>
    <tableColumn id="9" xr3:uid="{00000000-0010-0000-0900-000009000000}" name="7" dataDxfId="43" dataCellStyle="Comma"/>
    <tableColumn id="10" xr3:uid="{00000000-0010-0000-0900-00000A000000}" name="8" dataDxfId="42" dataCellStyle="Comma"/>
    <tableColumn id="11" xr3:uid="{00000000-0010-0000-0900-00000B000000}" name="9" dataDxfId="41" dataCellStyle="Comma"/>
    <tableColumn id="12" xr3:uid="{00000000-0010-0000-0900-00000C000000}" name="10" dataDxfId="40" dataCellStyle="C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416" displayName="Table1416" ref="A19:M34" totalsRowShown="0" headerRowDxfId="39" headerRowBorderDxfId="38">
  <autoFilter ref="A19:M34"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A00-000001000000}" name=" Year" dataDxfId="37"/>
    <tableColumn id="2" xr3:uid="{00000000-0010-0000-0A00-000002000000}" name="0" dataDxfId="36"/>
    <tableColumn id="3" xr3:uid="{00000000-0010-0000-0A00-000003000000}" name="1" dataDxfId="35"/>
    <tableColumn id="4" xr3:uid="{00000000-0010-0000-0A00-000004000000}" name="2" dataDxfId="34"/>
    <tableColumn id="5" xr3:uid="{00000000-0010-0000-0A00-000005000000}" name="3" dataDxfId="33"/>
    <tableColumn id="6" xr3:uid="{00000000-0010-0000-0A00-000006000000}" name="4" dataDxfId="32"/>
    <tableColumn id="7" xr3:uid="{00000000-0010-0000-0A00-000007000000}" name="5" dataDxfId="31"/>
    <tableColumn id="8" xr3:uid="{00000000-0010-0000-0A00-000008000000}" name="6" dataDxfId="30"/>
    <tableColumn id="9" xr3:uid="{00000000-0010-0000-0A00-000009000000}" name="7" dataDxfId="29"/>
    <tableColumn id="10" xr3:uid="{00000000-0010-0000-0A00-00000A000000}" name="8" dataDxfId="28"/>
    <tableColumn id="11" xr3:uid="{00000000-0010-0000-0A00-00000B000000}" name="9" dataDxfId="27"/>
    <tableColumn id="12" xr3:uid="{00000000-0010-0000-0A00-00000C000000}" name="10" dataDxfId="26"/>
    <tableColumn id="13" xr3:uid="{00000000-0010-0000-0A00-00000D000000}" name="Terminal Year" dataDxfId="2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2517" displayName="Table2517" ref="A37:B50" totalsRowShown="0">
  <autoFilter ref="A37:B50" xr:uid="{00000000-0009-0000-0100-00000C000000}">
    <filterColumn colId="0" hiddenButton="1"/>
    <filterColumn colId="1" hiddenButton="1"/>
  </autoFilter>
  <tableColumns count="2">
    <tableColumn id="1" xr3:uid="{00000000-0010-0000-0B00-000001000000}" name=" "/>
    <tableColumn id="2" xr3:uid="{00000000-0010-0000-0B00-000002000000}" name="Value" dataDxfId="24">
      <calculatedColumnFormula>SUM(C34:L34)</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518" displayName="Table1518" ref="A54:L66" totalsRowShown="0" headerRowDxfId="23" dataDxfId="22" dataCellStyle="Comma">
  <autoFilter ref="A54:L66"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C00-000001000000}" name="Year" dataDxfId="21"/>
    <tableColumn id="2" xr3:uid="{00000000-0010-0000-0C00-000002000000}" name="0" dataDxfId="20"/>
    <tableColumn id="3" xr3:uid="{00000000-0010-0000-0C00-000003000000}" name="1" dataDxfId="19" dataCellStyle="Comma"/>
    <tableColumn id="4" xr3:uid="{00000000-0010-0000-0C00-000004000000}" name="2" dataDxfId="18" dataCellStyle="Comma"/>
    <tableColumn id="5" xr3:uid="{00000000-0010-0000-0C00-000005000000}" name="3" dataDxfId="17" dataCellStyle="Comma"/>
    <tableColumn id="6" xr3:uid="{00000000-0010-0000-0C00-000006000000}" name="4" dataDxfId="16" dataCellStyle="Comma"/>
    <tableColumn id="7" xr3:uid="{00000000-0010-0000-0C00-000007000000}" name="5" dataDxfId="15" dataCellStyle="Comma"/>
    <tableColumn id="8" xr3:uid="{00000000-0010-0000-0C00-000008000000}" name="6" dataDxfId="14" dataCellStyle="Comma"/>
    <tableColumn id="9" xr3:uid="{00000000-0010-0000-0C00-000009000000}" name="7" dataDxfId="13" dataCellStyle="Comma"/>
    <tableColumn id="10" xr3:uid="{00000000-0010-0000-0C00-00000A000000}" name="8" dataDxfId="12" dataCellStyle="Comma"/>
    <tableColumn id="11" xr3:uid="{00000000-0010-0000-0C00-00000B000000}" name="9" dataDxfId="11" dataCellStyle="Comma"/>
    <tableColumn id="12" xr3:uid="{00000000-0010-0000-0C00-00000C000000}" name="10" dataDxfId="10"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8" displayName="Table18" ref="A6:B16" totalsRowShown="0">
  <autoFilter ref="A6:B16" xr:uid="{00000000-0009-0000-0100-00000E000000}">
    <filterColumn colId="0" hiddenButton="1"/>
    <filterColumn colId="1" hiddenButton="1"/>
  </autoFilter>
  <tableColumns count="2">
    <tableColumn id="1" xr3:uid="{00000000-0010-0000-0D00-000001000000}" name="After Buyout" dataDxfId="9"/>
    <tableColumn id="2" xr3:uid="{00000000-0010-0000-0D00-000002000000}" name=" " dataDxfId="8" dataCellStyle="Comm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0" displayName="Table10" ref="A6:C11" totalsRowShown="0">
  <autoFilter ref="A6:C11" xr:uid="{00000000-0009-0000-0100-00000F000000}">
    <filterColumn colId="0" hiddenButton="1"/>
    <filterColumn colId="1" hiddenButton="1"/>
    <filterColumn colId="2" hiddenButton="1"/>
  </autoFilter>
  <tableColumns count="3">
    <tableColumn id="1" xr3:uid="{00000000-0010-0000-0E00-000001000000}" name="Beta and CAPM-based Cost of Capital"/>
    <tableColumn id="2" xr3:uid="{00000000-0010-0000-0E00-000002000000}" name="Beta" dataDxfId="7"/>
    <tableColumn id="3" xr3:uid="{00000000-0010-0000-0E00-000003000000}" name="Cost of Capital" dataDxfId="6"/>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1" displayName="Table11" ref="A13:C17" totalsRowShown="0">
  <autoFilter ref="A13:C17" xr:uid="{00000000-0009-0000-0100-000010000000}">
    <filterColumn colId="0" hiddenButton="1"/>
    <filterColumn colId="1" hiddenButton="1"/>
    <filterColumn colId="2" hiddenButton="1"/>
  </autoFilter>
  <tableColumns count="3">
    <tableColumn id="1" xr3:uid="{00000000-0010-0000-0F00-000001000000}" name="Target Firm Capital Structure"/>
    <tableColumn id="2" xr3:uid="{00000000-0010-0000-0F00-000002000000}" name="Scenario 1/2" dataDxfId="5" dataCellStyle="Comma"/>
    <tableColumn id="3" xr3:uid="{00000000-0010-0000-0F00-000003000000}" name="Scenario 3" dataDxfId="4">
      <calculatedColumnFormula>Table11[[#This Row],[Scenario 1/2]]+'Pension Derisking'!B15</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2" displayName="Table12" ref="A20:C24" totalsRowShown="0">
  <autoFilter ref="A20:C24" xr:uid="{00000000-0009-0000-0100-000011000000}">
    <filterColumn colId="0" hiddenButton="1"/>
    <filterColumn colId="1" hiddenButton="1"/>
    <filterColumn colId="2" hiddenButton="1"/>
  </autoFilter>
  <tableColumns count="3">
    <tableColumn id="1" xr3:uid="{00000000-0010-0000-1000-000001000000}" name="Scenario 1: WACC without Pension"/>
    <tableColumn id="2" xr3:uid="{00000000-0010-0000-1000-000002000000}" name=" "/>
    <tableColumn id="3" xr3:uid="{00000000-0010-0000-1000-000003000000}" name="  "/>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3" displayName="Table13" ref="A26:B30" totalsRowShown="0">
  <autoFilter ref="A26:B30" xr:uid="{00000000-0009-0000-0100-000012000000}">
    <filterColumn colId="0" hiddenButton="1"/>
    <filterColumn colId="1" hiddenButton="1"/>
  </autoFilter>
  <tableColumns count="2">
    <tableColumn id="1" xr3:uid="{00000000-0010-0000-1100-000001000000}" name="Scenario 2: WACC with Pension" dataDxfId="3"/>
    <tableColumn id="2" xr3:uid="{00000000-0010-0000-1100-000002000000}" name=" " dataDxfId="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320" displayName="Table1320" ref="A32:B36" totalsRowShown="0">
  <autoFilter ref="A32:B36" xr:uid="{00000000-0009-0000-0100-000013000000}">
    <filterColumn colId="0" hiddenButton="1"/>
    <filterColumn colId="1" hiddenButton="1"/>
  </autoFilter>
  <tableColumns count="2">
    <tableColumn id="1" xr3:uid="{00000000-0010-0000-1200-000001000000}" name="Scenario 3: WACC after Pension Buyout" dataDxfId="1"/>
    <tableColumn id="2" xr3:uid="{00000000-0010-0000-1200-000002000000}" name=" "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6" displayName="Table6" ref="A16:B22" totalsRowShown="0">
  <autoFilter ref="A16:B22" xr:uid="{00000000-0009-0000-0100-000002000000}">
    <filterColumn colId="0" hiddenButton="1"/>
    <filterColumn colId="1" hiddenButton="1"/>
  </autoFilter>
  <tableColumns count="2">
    <tableColumn id="1" xr3:uid="{00000000-0010-0000-0100-000001000000}" name="Operation Projection"/>
    <tableColumn id="2" xr3:uid="{00000000-0010-0000-0100-000002000000}" name=" "/>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7" displayName="Table7" ref="A24:B29" totalsRowShown="0">
  <autoFilter ref="A24:B29" xr:uid="{00000000-0009-0000-0100-000003000000}">
    <filterColumn colId="0" hiddenButton="1"/>
    <filterColumn colId="1" hiddenButton="1"/>
  </autoFilter>
  <tableColumns count="2">
    <tableColumn id="1" xr3:uid="{00000000-0010-0000-0200-000001000000}" name="Market Parameters"/>
    <tableColumn id="2" xr3:uid="{00000000-0010-0000-0200-000002000000}" name=" "/>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8" displayName="Table8" ref="A31:B45" totalsRowShown="0">
  <autoFilter ref="A31:B45" xr:uid="{00000000-0009-0000-0100-000004000000}">
    <filterColumn colId="0" hiddenButton="1"/>
    <filterColumn colId="1" hiddenButton="1"/>
  </autoFilter>
  <tableColumns count="2">
    <tableColumn id="1" xr3:uid="{00000000-0010-0000-0300-000001000000}" name="Current Pension Financials"/>
    <tableColumn id="2" xr3:uid="{00000000-0010-0000-0300-000002000000}" name=" " dataDxfId="8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9" displayName="Table9" ref="A47:B52" totalsRowShown="0">
  <autoFilter ref="A47:B52" xr:uid="{00000000-0009-0000-0100-000005000000}">
    <filterColumn colId="0" hiddenButton="1"/>
    <filterColumn colId="1" hiddenButton="1"/>
  </autoFilter>
  <tableColumns count="2">
    <tableColumn id="1" xr3:uid="{00000000-0010-0000-0400-000001000000}" name="Pension Buyout Assumptions"/>
    <tableColumn id="2" xr3:uid="{00000000-0010-0000-0400-000002000000}" name=" " dataDxfId="8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1" displayName="Table1" ref="A4:M18" totalsRowShown="0" headerRowDxfId="85" headerRowBorderDxfId="84">
  <autoFilter ref="A4:M18"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500-000001000000}" name=" Year" dataDxfId="83"/>
    <tableColumn id="2" xr3:uid="{00000000-0010-0000-0500-000002000000}" name="0" dataDxfId="82"/>
    <tableColumn id="3" xr3:uid="{00000000-0010-0000-0500-000003000000}" name="1" dataDxfId="81"/>
    <tableColumn id="4" xr3:uid="{00000000-0010-0000-0500-000004000000}" name="2" dataDxfId="80"/>
    <tableColumn id="5" xr3:uid="{00000000-0010-0000-0500-000005000000}" name="3" dataDxfId="79"/>
    <tableColumn id="6" xr3:uid="{00000000-0010-0000-0500-000006000000}" name="4" dataDxfId="78"/>
    <tableColumn id="7" xr3:uid="{00000000-0010-0000-0500-000007000000}" name="5" dataDxfId="77"/>
    <tableColumn id="8" xr3:uid="{00000000-0010-0000-0500-000008000000}" name="6" dataDxfId="76"/>
    <tableColumn id="9" xr3:uid="{00000000-0010-0000-0500-000009000000}" name="7" dataDxfId="75"/>
    <tableColumn id="10" xr3:uid="{00000000-0010-0000-0500-00000A000000}" name="8" dataDxfId="74"/>
    <tableColumn id="11" xr3:uid="{00000000-0010-0000-0500-00000B000000}" name="9" dataDxfId="73"/>
    <tableColumn id="12" xr3:uid="{00000000-0010-0000-0500-00000C000000}" name="10" dataDxfId="72"/>
    <tableColumn id="13" xr3:uid="{00000000-0010-0000-0500-00000D000000}" name="Terminal Year" dataDxfId="7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2" displayName="Table2" ref="A21:B32" totalsRowShown="0">
  <autoFilter ref="A21:B32" xr:uid="{00000000-0009-0000-0100-000007000000}">
    <filterColumn colId="0" hiddenButton="1"/>
    <filterColumn colId="1" hiddenButton="1"/>
  </autoFilter>
  <tableColumns count="2">
    <tableColumn id="1" xr3:uid="{00000000-0010-0000-0600-000001000000}" name=" "/>
    <tableColumn id="2" xr3:uid="{00000000-0010-0000-0600-000002000000}" name="Value" dataDxfId="70">
      <calculatedColumnFormula>SUM(C18:L18)</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14" displayName="Table14" ref="A4:M19" totalsRowShown="0" headerRowDxfId="69" headerRowBorderDxfId="68">
  <autoFilter ref="A4:M19"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700-000001000000}" name=" Year" dataDxfId="67"/>
    <tableColumn id="2" xr3:uid="{00000000-0010-0000-0700-000002000000}" name="0" dataDxfId="66"/>
    <tableColumn id="3" xr3:uid="{00000000-0010-0000-0700-000003000000}" name="1" dataDxfId="65"/>
    <tableColumn id="4" xr3:uid="{00000000-0010-0000-0700-000004000000}" name="2" dataDxfId="64"/>
    <tableColumn id="5" xr3:uid="{00000000-0010-0000-0700-000005000000}" name="3" dataDxfId="63"/>
    <tableColumn id="6" xr3:uid="{00000000-0010-0000-0700-000006000000}" name="4" dataDxfId="62"/>
    <tableColumn id="7" xr3:uid="{00000000-0010-0000-0700-000007000000}" name="5" dataDxfId="61"/>
    <tableColumn id="8" xr3:uid="{00000000-0010-0000-0700-000008000000}" name="6" dataDxfId="60"/>
    <tableColumn id="9" xr3:uid="{00000000-0010-0000-0700-000009000000}" name="7" dataDxfId="59"/>
    <tableColumn id="10" xr3:uid="{00000000-0010-0000-0700-00000A000000}" name="8" dataDxfId="58"/>
    <tableColumn id="11" xr3:uid="{00000000-0010-0000-0700-00000B000000}" name="9" dataDxfId="57"/>
    <tableColumn id="12" xr3:uid="{00000000-0010-0000-0700-00000C000000}" name="10" dataDxfId="56"/>
    <tableColumn id="13" xr3:uid="{00000000-0010-0000-0700-00000D000000}" name="Terminal Year" dataDxfId="5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25" displayName="Table25" ref="A22:B35" totalsRowShown="0">
  <autoFilter ref="A22:B35" xr:uid="{00000000-0009-0000-0100-000009000000}">
    <filterColumn colId="0" hiddenButton="1"/>
    <filterColumn colId="1" hiddenButton="1"/>
  </autoFilter>
  <tableColumns count="2">
    <tableColumn id="1" xr3:uid="{00000000-0010-0000-0800-000001000000}" name=" "/>
    <tableColumn id="2" xr3:uid="{00000000-0010-0000-0800-000002000000}" name="Value" dataDxfId="54">
      <calculatedColumnFormula>SUM(C19:L19)</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AR Theme">
  <a:themeElements>
    <a:clrScheme name="AR2021">
      <a:dk1>
        <a:srgbClr val="000000"/>
      </a:dk1>
      <a:lt1>
        <a:sysClr val="window" lastClr="FFFFFF"/>
      </a:lt1>
      <a:dk2>
        <a:srgbClr val="024D7C"/>
      </a:dk2>
      <a:lt2>
        <a:srgbClr val="BEBBBA"/>
      </a:lt2>
      <a:accent1>
        <a:srgbClr val="024D7C"/>
      </a:accent1>
      <a:accent2>
        <a:srgbClr val="BABF33"/>
      </a:accent2>
      <a:accent3>
        <a:srgbClr val="77C4D5"/>
      </a:accent3>
      <a:accent4>
        <a:srgbClr val="FDCE07"/>
      </a:accent4>
      <a:accent5>
        <a:srgbClr val="D23138"/>
      </a:accent5>
      <a:accent6>
        <a:srgbClr val="E27F26"/>
      </a:accent6>
      <a:hlink>
        <a:srgbClr val="024D7C"/>
      </a:hlink>
      <a:folHlink>
        <a:srgbClr val="8B8F26"/>
      </a:folHlink>
    </a:clrScheme>
    <a:fontScheme name="SOA">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6-03-10T19:19:56.59" personId="{8B4F3E15-39DB-4B85-95AD-2F3AD097D930}" id="{3390CF1A-B590-4D47-910E-A45744EB8954}">
    <text>EBIT stand for Earnings Before Interest and Taxes</text>
  </threadedComment>
  <threadedComment ref="B6" dT="2026-03-10T19:20:33.50" personId="{8B4F3E15-39DB-4B85-95AD-2F3AD097D930}" id="{758E8B5F-29C6-47BC-A754-990EA0E49EEF}">
    <text>The interest expense and BV of Debt can be used to estimate the MV of Debt.</text>
  </threadedComment>
  <threadedComment ref="B18" dT="2026-03-10T19:20:52.32" personId="{8B4F3E15-39DB-4B85-95AD-2F3AD097D930}" id="{9968BF57-A4CC-4DA5-A56B-28D27E827EFB}">
    <text>The revenue growth rate is assumed to be linearly approaching the target by 5 years.</text>
  </threadedComment>
  <threadedComment ref="B19" dT="2026-03-10T19:21:09.14" personId="{8B4F3E15-39DB-4B85-95AD-2F3AD097D930}" id="{D7A442D7-CA01-473E-8EDF-89EA296ECEAD}">
    <text>The operating margin here excludes pension service cost.</text>
  </threadedComment>
  <threadedComment ref="B20" dT="2026-03-10T19:21:24.11" personId="{8B4F3E15-39DB-4B85-95AD-2F3AD097D930}" id="{682077ED-8D3B-4C78-BD46-943697AE8A70}">
    <text>The operating margin is assumed to be linearly approaching the target from the first year.</text>
  </threadedComment>
  <threadedComment ref="B22" dT="2026-03-10T19:21:39.59" personId="{8B4F3E15-39DB-4B85-95AD-2F3AD097D930}" id="{F6CDFA66-1563-4A15-9C76-EF32DE612CAC}">
    <text>This ratio is used to estimate the implied reinvestment amount.</text>
  </threadedComment>
  <threadedComment ref="B38" dT="2026-03-10T19:22:02.34" personId="{8B4F3E15-39DB-4B85-95AD-2F3AD097D930}" id="{EF2B98DD-73B4-4EFD-B357-634AF758E81E}">
    <text>This is used to estimate the annual pension deficit contribution, in addition to the normal contribution.</text>
  </threadedComment>
  <threadedComment ref="B41" dT="2026-03-10T19:22:20.32" personId="{8B4F3E15-39DB-4B85-95AD-2F3AD097D930}" id="{9A32DB7B-0EED-438D-851F-C1D5BB03E743}">
    <text>Pension administrative costs include investment management fees, PBGC insurance premiums etc.</text>
  </threadedComment>
  <threadedComment ref="B42" dT="2026-03-10T19:22:36.55" personId="{8B4F3E15-39DB-4B85-95AD-2F3AD097D930}" id="{AE62D217-D4E0-41A9-8AA8-8F2AA7703D11}">
    <text>Pension Assets are assumed to be invested in three asset categories: overall equity market index, bond index, and money market fund.</text>
  </threadedComment>
  <threadedComment ref="B45" dT="2026-03-10T19:22:52.82" personId="{8B4F3E15-39DB-4B85-95AD-2F3AD097D930}" id="{39FEA424-01BB-4044-9E73-6BAEB0AE63D7}">
    <text>This is the penalty rate for a firm to utilize its pension surplus.</text>
  </threadedComment>
  <threadedComment ref="B48" dT="2026-03-10T19:23:08.28" personId="{8B4F3E15-39DB-4B85-95AD-2F3AD097D930}" id="{186F1A49-8CDE-4AF2-935F-1E352AD81D3B}">
    <text>The Buyout Ratio represents the proportion of pension liabilities transferred through buyout. The transferred liabilities are all for retirees.</text>
  </threadedComment>
  <threadedComment ref="B49" dT="2026-03-10T19:23:22.58" personId="{8B4F3E15-39DB-4B85-95AD-2F3AD097D930}" id="{1A50F2E9-1880-48EF-AD4F-32FAD21D14FC}">
    <text>The Buyout price as of transferred pension liabilities.</text>
  </threadedComment>
  <threadedComment ref="B51" dT="2026-03-10T19:23:36.55" personId="{8B4F3E15-39DB-4B85-95AD-2F3AD097D930}" id="{D3F31A3F-367B-4D51-84CE-5DDC9B7C2ABC}">
    <text xml:space="preserve">If "no" to the previous question, the fundings from issuing equity and debt represent the proportion of extra funding source raised for the unfunded part of the transferred liabilities. </text>
  </threadedComment>
</ThreadedComments>
</file>

<file path=xl/threadedComments/threadedComment2.xml><?xml version="1.0" encoding="utf-8"?>
<ThreadedComments xmlns="http://schemas.microsoft.com/office/spreadsheetml/2018/threadedcomments" xmlns:x="http://schemas.openxmlformats.org/spreadsheetml/2006/main">
  <threadedComment ref="B9" dT="2026-03-10T19:24:09.95" personId="{8B4F3E15-39DB-4B85-95AD-2F3AD097D930}" id="{570FA555-1156-4F54-BD68-959BC8E7ED4A}">
    <text>After buyout, we assume that the pension payouts will be linearly increased to the target pension payout in the 10th year. The target pension payout is approximately the same percentage of liability as the current one.</text>
  </threadedComment>
  <threadedComment ref="B10" dT="2026-03-10T19:24:26.72" personId="{8B4F3E15-39DB-4B85-95AD-2F3AD097D930}" id="{866AE866-38EB-4C58-9FC0-D600ADF4D486}">
    <text>The assets required from the operating side to fund the buyout deal.</text>
  </threadedComment>
  <threadedComment ref="B13" dT="2026-03-10T19:24:43.75" personId="{8B4F3E15-39DB-4B85-95AD-2F3AD097D930}" id="{B0125037-9ECF-4471-B6C3-0BB1C2DC8D80}">
    <text>The Pension contributions are tax deductible. We assume that only the tax adjusted new equity and debt are needed.</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table" Target="../tables/table2.xml"/><Relationship Id="rId7"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7" Type="http://schemas.microsoft.com/office/2017/10/relationships/threadedComment" Target="../threadedComments/threadedComment2.xml"/><Relationship Id="rId2" Type="http://schemas.openxmlformats.org/officeDocument/2006/relationships/table" Target="../tables/table11.xml"/><Relationship Id="rId1" Type="http://schemas.openxmlformats.org/officeDocument/2006/relationships/vmlDrawing" Target="../drawings/vmlDrawing2.vml"/><Relationship Id="rId6" Type="http://schemas.openxmlformats.org/officeDocument/2006/relationships/comments" Target="../comments2.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table" Target="../tables/table15.xml"/><Relationship Id="rId5" Type="http://schemas.openxmlformats.org/officeDocument/2006/relationships/table" Target="../tables/table19.xml"/><Relationship Id="rId4"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M37"/>
  <sheetViews>
    <sheetView tabSelected="1" workbookViewId="0"/>
  </sheetViews>
  <sheetFormatPr defaultRowHeight="15" x14ac:dyDescent="0.25"/>
  <cols>
    <col min="1" max="1" width="112.625" style="9" bestFit="1" customWidth="1"/>
  </cols>
  <sheetData>
    <row r="5" spans="1:6" x14ac:dyDescent="0.25">
      <c r="F5" s="6"/>
    </row>
    <row r="6" spans="1:6" ht="32.25" customHeight="1" x14ac:dyDescent="0.5">
      <c r="A6" s="11" t="s">
        <v>0</v>
      </c>
    </row>
    <row r="7" spans="1:6" ht="26.25" customHeight="1" x14ac:dyDescent="0.4">
      <c r="A7" s="12" t="s">
        <v>1</v>
      </c>
    </row>
    <row r="10" spans="1:6" ht="21" customHeight="1" x14ac:dyDescent="0.35">
      <c r="A10" s="13" t="s">
        <v>2</v>
      </c>
    </row>
    <row r="12" spans="1:6" x14ac:dyDescent="0.25">
      <c r="A12" s="9" t="s">
        <v>3</v>
      </c>
    </row>
    <row r="13" spans="1:6" x14ac:dyDescent="0.25">
      <c r="A13" s="9" t="s">
        <v>4</v>
      </c>
    </row>
    <row r="15" spans="1:6" x14ac:dyDescent="0.25">
      <c r="A15" s="9" t="s">
        <v>5</v>
      </c>
    </row>
    <row r="17" spans="1:13" ht="45" x14ac:dyDescent="0.25">
      <c r="A17" s="9" t="s">
        <v>167</v>
      </c>
    </row>
    <row r="18" spans="1:13" x14ac:dyDescent="0.25">
      <c r="A18" s="9" t="s">
        <v>6</v>
      </c>
    </row>
    <row r="20" spans="1:13" x14ac:dyDescent="0.25">
      <c r="A20" s="9" t="s">
        <v>7</v>
      </c>
    </row>
    <row r="21" spans="1:13" x14ac:dyDescent="0.25">
      <c r="A21" s="9" t="s">
        <v>8</v>
      </c>
    </row>
    <row r="23" spans="1:13" ht="30" customHeight="1" x14ac:dyDescent="0.25">
      <c r="A23" s="9" t="s">
        <v>9</v>
      </c>
    </row>
    <row r="24" spans="1:13" x14ac:dyDescent="0.25">
      <c r="A24" s="9" t="s">
        <v>10</v>
      </c>
    </row>
    <row r="26" spans="1:13" x14ac:dyDescent="0.25">
      <c r="A26" s="9" t="s">
        <v>11</v>
      </c>
    </row>
    <row r="28" spans="1:13" x14ac:dyDescent="0.25">
      <c r="A28" s="9" t="s">
        <v>12</v>
      </c>
    </row>
    <row r="31" spans="1:13" ht="18.75" customHeight="1" x14ac:dyDescent="0.3">
      <c r="A31" s="16" t="s">
        <v>13</v>
      </c>
    </row>
    <row r="32" spans="1:13" ht="28.5" customHeight="1" x14ac:dyDescent="0.25">
      <c r="A32" s="7" t="s">
        <v>14</v>
      </c>
      <c r="B32" s="7"/>
      <c r="C32" s="7"/>
      <c r="D32" s="7"/>
      <c r="E32" s="7"/>
      <c r="F32" s="7"/>
      <c r="G32" s="7"/>
      <c r="H32" s="7"/>
      <c r="I32" s="7"/>
      <c r="J32" s="7"/>
      <c r="K32" s="7"/>
      <c r="L32" s="7"/>
      <c r="M32" s="7"/>
    </row>
    <row r="33" spans="1:13" ht="42.75" customHeight="1" x14ac:dyDescent="0.25">
      <c r="A33" s="8" t="s">
        <v>15</v>
      </c>
      <c r="B33" s="8"/>
      <c r="C33" s="8"/>
      <c r="D33" s="8"/>
      <c r="E33" s="8"/>
      <c r="F33" s="8"/>
      <c r="G33" s="8"/>
      <c r="H33" s="8"/>
      <c r="I33" s="8"/>
      <c r="J33" s="8"/>
      <c r="K33" s="8"/>
      <c r="L33" s="8"/>
      <c r="M33" s="8"/>
    </row>
    <row r="34" spans="1:13" ht="96.75" customHeight="1" x14ac:dyDescent="0.25">
      <c r="A34" s="8" t="s">
        <v>16</v>
      </c>
      <c r="B34" s="8"/>
      <c r="C34" s="8"/>
      <c r="D34" s="8"/>
      <c r="E34" s="8"/>
      <c r="F34" s="8"/>
      <c r="G34" s="8"/>
      <c r="H34" s="8"/>
      <c r="I34" s="8"/>
      <c r="J34" s="8"/>
      <c r="K34" s="8"/>
      <c r="L34" s="8"/>
      <c r="M34" s="8"/>
    </row>
    <row r="35" spans="1:13" ht="70.5" customHeight="1" x14ac:dyDescent="0.25">
      <c r="A35" s="7" t="s">
        <v>17</v>
      </c>
      <c r="B35" s="7"/>
      <c r="C35" s="7"/>
      <c r="D35" s="7"/>
      <c r="E35" s="7"/>
      <c r="F35" s="7"/>
      <c r="G35" s="7"/>
      <c r="H35" s="7"/>
      <c r="I35" s="7"/>
      <c r="J35" s="7"/>
      <c r="K35" s="7"/>
      <c r="L35" s="7"/>
      <c r="M35" s="7"/>
    </row>
    <row r="36" spans="1:13" x14ac:dyDescent="0.25">
      <c r="A36" s="14"/>
      <c r="B36" s="10"/>
      <c r="C36" s="10"/>
      <c r="D36" s="10"/>
      <c r="E36" s="10"/>
      <c r="F36" s="10"/>
      <c r="G36" s="10"/>
      <c r="H36" s="10"/>
      <c r="I36" s="10"/>
      <c r="J36" s="10"/>
      <c r="K36" s="10"/>
      <c r="L36" s="10"/>
      <c r="M36" s="10"/>
    </row>
    <row r="37" spans="1:13" x14ac:dyDescent="0.25">
      <c r="A37" s="15" t="s">
        <v>18</v>
      </c>
      <c r="B37" s="10"/>
      <c r="C37" s="10"/>
      <c r="D37" s="10"/>
      <c r="E37" s="10"/>
      <c r="F37" s="10"/>
      <c r="G37" s="10"/>
      <c r="H37" s="10"/>
      <c r="I37" s="10"/>
      <c r="J37" s="10"/>
      <c r="K37" s="10"/>
      <c r="L37" s="10"/>
      <c r="M37" s="1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2"/>
  <sheetViews>
    <sheetView workbookViewId="0"/>
  </sheetViews>
  <sheetFormatPr defaultRowHeight="15" x14ac:dyDescent="0.25"/>
  <cols>
    <col min="1" max="1" width="49.375" customWidth="1"/>
    <col min="2" max="2" width="9.5" customWidth="1"/>
  </cols>
  <sheetData>
    <row r="1" spans="1:2" ht="21" customHeight="1" x14ac:dyDescent="0.3">
      <c r="A1" s="16" t="s">
        <v>19</v>
      </c>
    </row>
    <row r="3" spans="1:2" ht="18.75" customHeight="1" x14ac:dyDescent="0.25">
      <c r="A3" s="21" t="s">
        <v>20</v>
      </c>
      <c r="B3" s="21" t="s">
        <v>21</v>
      </c>
    </row>
    <row r="4" spans="1:2" x14ac:dyDescent="0.25">
      <c r="A4" s="17" t="s">
        <v>22</v>
      </c>
      <c r="B4" s="22">
        <v>18000</v>
      </c>
    </row>
    <row r="5" spans="1:2" x14ac:dyDescent="0.25">
      <c r="A5" s="19" t="s">
        <v>23</v>
      </c>
      <c r="B5" s="23">
        <v>1900</v>
      </c>
    </row>
    <row r="6" spans="1:2" x14ac:dyDescent="0.25">
      <c r="A6" s="17" t="s">
        <v>24</v>
      </c>
      <c r="B6" s="22">
        <v>240</v>
      </c>
    </row>
    <row r="7" spans="1:2" x14ac:dyDescent="0.25">
      <c r="A7" s="19" t="s">
        <v>25</v>
      </c>
      <c r="B7" s="23">
        <v>2700</v>
      </c>
    </row>
    <row r="8" spans="1:2" x14ac:dyDescent="0.25">
      <c r="A8" s="17" t="s">
        <v>26</v>
      </c>
      <c r="B8" s="22">
        <v>12000</v>
      </c>
    </row>
    <row r="9" spans="1:2" x14ac:dyDescent="0.25">
      <c r="A9" s="19" t="s">
        <v>27</v>
      </c>
      <c r="B9" s="23">
        <v>800</v>
      </c>
    </row>
    <row r="10" spans="1:2" x14ac:dyDescent="0.25">
      <c r="A10" s="17" t="s">
        <v>28</v>
      </c>
      <c r="B10" s="22">
        <v>199</v>
      </c>
    </row>
    <row r="11" spans="1:2" x14ac:dyDescent="0.25">
      <c r="A11" s="19" t="s">
        <v>29</v>
      </c>
      <c r="B11" s="23">
        <v>100</v>
      </c>
    </row>
    <row r="12" spans="1:2" x14ac:dyDescent="0.25">
      <c r="A12" s="17" t="s">
        <v>30</v>
      </c>
      <c r="B12" s="24">
        <v>0.2</v>
      </c>
    </row>
    <row r="13" spans="1:2" x14ac:dyDescent="0.25">
      <c r="A13" s="19" t="s">
        <v>31</v>
      </c>
      <c r="B13" s="25">
        <v>0.25</v>
      </c>
    </row>
    <row r="14" spans="1:2" x14ac:dyDescent="0.25">
      <c r="A14" s="17" t="s">
        <v>32</v>
      </c>
      <c r="B14" s="26">
        <v>5</v>
      </c>
    </row>
    <row r="16" spans="1:2" ht="18.75" customHeight="1" x14ac:dyDescent="0.25">
      <c r="A16" s="21" t="s">
        <v>33</v>
      </c>
      <c r="B16" s="21" t="s">
        <v>21</v>
      </c>
    </row>
    <row r="17" spans="1:2" x14ac:dyDescent="0.25">
      <c r="A17" s="17" t="s">
        <v>34</v>
      </c>
      <c r="B17" s="24">
        <v>0.12</v>
      </c>
    </row>
    <row r="18" spans="1:2" x14ac:dyDescent="0.25">
      <c r="A18" s="19" t="s">
        <v>35</v>
      </c>
      <c r="B18" s="25">
        <v>0.05</v>
      </c>
    </row>
    <row r="19" spans="1:2" x14ac:dyDescent="0.25">
      <c r="A19" s="17" t="s">
        <v>36</v>
      </c>
      <c r="B19" s="27">
        <f>(B5+B34)/B4</f>
        <v>0.11666666666666667</v>
      </c>
    </row>
    <row r="20" spans="1:2" x14ac:dyDescent="0.25">
      <c r="A20" s="19" t="s">
        <v>37</v>
      </c>
      <c r="B20" s="25">
        <v>0.13</v>
      </c>
    </row>
    <row r="21" spans="1:2" x14ac:dyDescent="0.25">
      <c r="A21" s="17" t="s">
        <v>38</v>
      </c>
      <c r="B21" s="28">
        <v>5</v>
      </c>
    </row>
    <row r="22" spans="1:2" x14ac:dyDescent="0.25">
      <c r="A22" s="19" t="s">
        <v>39</v>
      </c>
      <c r="B22" s="29">
        <v>1.3</v>
      </c>
    </row>
    <row r="24" spans="1:2" ht="18.75" customHeight="1" x14ac:dyDescent="0.25">
      <c r="A24" s="21" t="s">
        <v>40</v>
      </c>
      <c r="B24" s="21" t="s">
        <v>21</v>
      </c>
    </row>
    <row r="25" spans="1:2" x14ac:dyDescent="0.25">
      <c r="A25" s="17" t="s">
        <v>41</v>
      </c>
      <c r="B25" s="24">
        <v>0.04</v>
      </c>
    </row>
    <row r="26" spans="1:2" x14ac:dyDescent="0.25">
      <c r="A26" s="19" t="s">
        <v>42</v>
      </c>
      <c r="B26" s="25">
        <v>0.05</v>
      </c>
    </row>
    <row r="27" spans="1:2" x14ac:dyDescent="0.25">
      <c r="A27" s="17" t="s">
        <v>43</v>
      </c>
      <c r="B27" s="18">
        <v>1</v>
      </c>
    </row>
    <row r="28" spans="1:2" x14ac:dyDescent="0.25">
      <c r="A28" s="19" t="s">
        <v>44</v>
      </c>
      <c r="B28" s="20">
        <v>1.1000000000000001</v>
      </c>
    </row>
    <row r="29" spans="1:2" x14ac:dyDescent="0.25">
      <c r="A29" s="17" t="s">
        <v>45</v>
      </c>
      <c r="B29" s="18">
        <v>0.17</v>
      </c>
    </row>
    <row r="31" spans="1:2" ht="18.75" customHeight="1" x14ac:dyDescent="0.25">
      <c r="A31" s="21" t="s">
        <v>46</v>
      </c>
      <c r="B31" s="21" t="s">
        <v>21</v>
      </c>
    </row>
    <row r="32" spans="1:2" x14ac:dyDescent="0.25">
      <c r="A32" s="17" t="s">
        <v>47</v>
      </c>
      <c r="B32" s="22">
        <v>7000</v>
      </c>
    </row>
    <row r="33" spans="1:2" x14ac:dyDescent="0.25">
      <c r="A33" s="19" t="s">
        <v>48</v>
      </c>
      <c r="B33" s="23">
        <v>10000</v>
      </c>
    </row>
    <row r="34" spans="1:2" x14ac:dyDescent="0.25">
      <c r="A34" s="17" t="s">
        <v>49</v>
      </c>
      <c r="B34" s="22">
        <v>200</v>
      </c>
    </row>
    <row r="35" spans="1:2" x14ac:dyDescent="0.25">
      <c r="A35" s="19" t="s">
        <v>50</v>
      </c>
      <c r="B35" s="25">
        <v>0.03</v>
      </c>
    </row>
    <row r="36" spans="1:2" x14ac:dyDescent="0.25">
      <c r="A36" s="17" t="s">
        <v>51</v>
      </c>
      <c r="B36" s="22">
        <f>B34</f>
        <v>200</v>
      </c>
    </row>
    <row r="37" spans="1:2" x14ac:dyDescent="0.25">
      <c r="A37" s="19" t="s">
        <v>52</v>
      </c>
      <c r="B37" s="25">
        <f>B35</f>
        <v>0.03</v>
      </c>
    </row>
    <row r="38" spans="1:2" x14ac:dyDescent="0.25">
      <c r="A38" s="17" t="s">
        <v>53</v>
      </c>
      <c r="B38" s="30">
        <f>1/PV(5%,15,-1,0,0)</f>
        <v>9.6342287609244362E-2</v>
      </c>
    </row>
    <row r="39" spans="1:2" x14ac:dyDescent="0.25">
      <c r="A39" s="19" t="s">
        <v>54</v>
      </c>
      <c r="B39" s="23">
        <v>600</v>
      </c>
    </row>
    <row r="40" spans="1:2" x14ac:dyDescent="0.25">
      <c r="A40" s="17" t="s">
        <v>55</v>
      </c>
      <c r="B40" s="24">
        <v>0.03</v>
      </c>
    </row>
    <row r="41" spans="1:2" x14ac:dyDescent="0.25">
      <c r="A41" s="19" t="s">
        <v>56</v>
      </c>
      <c r="B41" s="25">
        <v>0.01</v>
      </c>
    </row>
    <row r="42" spans="1:2" x14ac:dyDescent="0.25">
      <c r="A42" s="17" t="s">
        <v>57</v>
      </c>
      <c r="B42" s="24">
        <v>0.5</v>
      </c>
    </row>
    <row r="43" spans="1:2" x14ac:dyDescent="0.25">
      <c r="A43" s="19" t="s">
        <v>58</v>
      </c>
      <c r="B43" s="25">
        <v>0.45</v>
      </c>
    </row>
    <row r="44" spans="1:2" x14ac:dyDescent="0.25">
      <c r="A44" s="17" t="s">
        <v>59</v>
      </c>
      <c r="B44" s="24">
        <f>1-B42-B43</f>
        <v>4.9999999999999989E-2</v>
      </c>
    </row>
    <row r="45" spans="1:2" x14ac:dyDescent="0.25">
      <c r="A45" s="19" t="s">
        <v>60</v>
      </c>
      <c r="B45" s="25">
        <v>0.5</v>
      </c>
    </row>
    <row r="46" spans="1:2" x14ac:dyDescent="0.25">
      <c r="B46" s="2"/>
    </row>
    <row r="47" spans="1:2" ht="18.75" customHeight="1" x14ac:dyDescent="0.25">
      <c r="A47" s="21" t="s">
        <v>61</v>
      </c>
      <c r="B47" s="31" t="s">
        <v>21</v>
      </c>
    </row>
    <row r="48" spans="1:2" x14ac:dyDescent="0.25">
      <c r="A48" s="17" t="s">
        <v>62</v>
      </c>
      <c r="B48" s="24">
        <v>0.35</v>
      </c>
    </row>
    <row r="49" spans="1:2" x14ac:dyDescent="0.25">
      <c r="A49" s="19" t="s">
        <v>63</v>
      </c>
      <c r="B49" s="25">
        <v>1.04</v>
      </c>
    </row>
    <row r="50" spans="1:2" x14ac:dyDescent="0.25">
      <c r="A50" s="17" t="s">
        <v>64</v>
      </c>
      <c r="B50" s="18">
        <v>1</v>
      </c>
    </row>
    <row r="51" spans="1:2" x14ac:dyDescent="0.25">
      <c r="A51" s="19" t="s">
        <v>65</v>
      </c>
      <c r="B51" s="32">
        <v>0</v>
      </c>
    </row>
    <row r="52" spans="1:2" x14ac:dyDescent="0.25">
      <c r="A52" s="17" t="s">
        <v>66</v>
      </c>
      <c r="B52" s="33">
        <f>1-B51</f>
        <v>1</v>
      </c>
    </row>
  </sheetData>
  <pageMargins left="0.7" right="0.7" top="0.75" bottom="0.75" header="0.3" footer="0.3"/>
  <legacyDrawing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
  <sheetViews>
    <sheetView workbookViewId="0"/>
  </sheetViews>
  <sheetFormatPr defaultRowHeight="15" x14ac:dyDescent="0.25"/>
  <cols>
    <col min="1" max="1" width="30.75" customWidth="1"/>
    <col min="2" max="2" width="12.625" customWidth="1"/>
    <col min="3" max="12" width="10.75" customWidth="1"/>
    <col min="13" max="13" width="15.625" customWidth="1"/>
  </cols>
  <sheetData>
    <row r="1" spans="1:13" ht="21" customHeight="1" x14ac:dyDescent="0.35">
      <c r="A1" s="46" t="s">
        <v>67</v>
      </c>
    </row>
    <row r="2" spans="1:13" x14ac:dyDescent="0.25">
      <c r="A2" s="1"/>
    </row>
    <row r="3" spans="1:13" ht="18.75" customHeight="1" x14ac:dyDescent="0.3">
      <c r="A3" s="45" t="s">
        <v>68</v>
      </c>
    </row>
    <row r="4" spans="1:13" ht="16.5" customHeight="1" thickBot="1" x14ac:dyDescent="0.3">
      <c r="A4" s="21" t="s">
        <v>69</v>
      </c>
      <c r="B4" s="21" t="s">
        <v>70</v>
      </c>
      <c r="C4" s="21" t="s">
        <v>71</v>
      </c>
      <c r="D4" s="21" t="s">
        <v>72</v>
      </c>
      <c r="E4" s="21" t="s">
        <v>73</v>
      </c>
      <c r="F4" s="21" t="s">
        <v>74</v>
      </c>
      <c r="G4" s="21" t="s">
        <v>75</v>
      </c>
      <c r="H4" s="21" t="s">
        <v>76</v>
      </c>
      <c r="I4" s="21" t="s">
        <v>77</v>
      </c>
      <c r="J4" s="21" t="s">
        <v>78</v>
      </c>
      <c r="K4" s="21" t="s">
        <v>79</v>
      </c>
      <c r="L4" s="21" t="s">
        <v>80</v>
      </c>
      <c r="M4" s="21" t="s">
        <v>81</v>
      </c>
    </row>
    <row r="5" spans="1:13" x14ac:dyDescent="0.25">
      <c r="A5" s="17" t="s">
        <v>82</v>
      </c>
      <c r="B5" s="17"/>
      <c r="C5" s="47">
        <f>Input!B17</f>
        <v>0.12</v>
      </c>
      <c r="D5" s="47">
        <f>C5</f>
        <v>0.12</v>
      </c>
      <c r="E5" s="47">
        <f>D5</f>
        <v>0.12</v>
      </c>
      <c r="F5" s="47">
        <f>E5</f>
        <v>0.12</v>
      </c>
      <c r="G5" s="47">
        <f>F5</f>
        <v>0.12</v>
      </c>
      <c r="H5" s="48">
        <f>G5-($G$5-$L$5)/Input!$B$21</f>
        <v>0.106</v>
      </c>
      <c r="I5" s="48">
        <f>H5-($G$5-$L$5)/Input!$B$21</f>
        <v>9.1999999999999998E-2</v>
      </c>
      <c r="J5" s="48">
        <f>I5-($G$5-$L$5)/Input!$B$21</f>
        <v>7.8E-2</v>
      </c>
      <c r="K5" s="48">
        <f>J5-($G$5-$L$5)/Input!$B$21</f>
        <v>6.4000000000000001E-2</v>
      </c>
      <c r="L5" s="47">
        <f>Input!B18</f>
        <v>0.05</v>
      </c>
      <c r="M5" s="47">
        <f>L5</f>
        <v>0.05</v>
      </c>
    </row>
    <row r="6" spans="1:13" x14ac:dyDescent="0.25">
      <c r="A6" s="19" t="s">
        <v>83</v>
      </c>
      <c r="B6" s="49">
        <f>Input!B4</f>
        <v>18000</v>
      </c>
      <c r="C6" s="49">
        <f t="shared" ref="C6:M6" si="0">B6*(1+C5)</f>
        <v>20160.000000000004</v>
      </c>
      <c r="D6" s="49">
        <f t="shared" si="0"/>
        <v>22579.200000000008</v>
      </c>
      <c r="E6" s="50">
        <f t="shared" si="0"/>
        <v>25288.704000000012</v>
      </c>
      <c r="F6" s="50">
        <f t="shared" si="0"/>
        <v>28323.348480000015</v>
      </c>
      <c r="G6" s="50">
        <f t="shared" si="0"/>
        <v>31722.150297600019</v>
      </c>
      <c r="H6" s="50">
        <f t="shared" si="0"/>
        <v>35084.698229145622</v>
      </c>
      <c r="I6" s="50">
        <f t="shared" si="0"/>
        <v>38312.49046622702</v>
      </c>
      <c r="J6" s="50">
        <f t="shared" si="0"/>
        <v>41300.864722592727</v>
      </c>
      <c r="K6" s="50">
        <f t="shared" si="0"/>
        <v>43944.120064838666</v>
      </c>
      <c r="L6" s="50">
        <f t="shared" si="0"/>
        <v>46141.326068080598</v>
      </c>
      <c r="M6" s="50">
        <f t="shared" si="0"/>
        <v>48448.392371484631</v>
      </c>
    </row>
    <row r="7" spans="1:13" x14ac:dyDescent="0.25">
      <c r="A7" s="17" t="s">
        <v>84</v>
      </c>
      <c r="B7" s="51">
        <f>Input!B19</f>
        <v>0.11666666666666667</v>
      </c>
      <c r="C7" s="51">
        <f t="shared" ref="C7:K7" si="1">B7+($L$7-$B$7)/10</f>
        <v>0.11800000000000001</v>
      </c>
      <c r="D7" s="51">
        <f t="shared" si="1"/>
        <v>0.11933333333333335</v>
      </c>
      <c r="E7" s="51">
        <f t="shared" si="1"/>
        <v>0.12066666666666669</v>
      </c>
      <c r="F7" s="51">
        <f t="shared" si="1"/>
        <v>0.12200000000000003</v>
      </c>
      <c r="G7" s="51">
        <f t="shared" si="1"/>
        <v>0.12333333333333336</v>
      </c>
      <c r="H7" s="51">
        <f t="shared" si="1"/>
        <v>0.1246666666666667</v>
      </c>
      <c r="I7" s="51">
        <f t="shared" si="1"/>
        <v>0.12600000000000003</v>
      </c>
      <c r="J7" s="51">
        <f t="shared" si="1"/>
        <v>0.12733333333333335</v>
      </c>
      <c r="K7" s="51">
        <f t="shared" si="1"/>
        <v>0.12866666666666668</v>
      </c>
      <c r="L7" s="47">
        <f>Input!B20</f>
        <v>0.13</v>
      </c>
      <c r="M7" s="47">
        <f>L7</f>
        <v>0.13</v>
      </c>
    </row>
    <row r="8" spans="1:13" x14ac:dyDescent="0.25">
      <c r="A8" s="19" t="s">
        <v>85</v>
      </c>
      <c r="B8" s="52">
        <f t="shared" ref="B8:M8" si="2">B6*B7</f>
        <v>2100</v>
      </c>
      <c r="C8" s="49">
        <f t="shared" si="2"/>
        <v>2378.8800000000006</v>
      </c>
      <c r="D8" s="49">
        <f t="shared" si="2"/>
        <v>2694.4512000000013</v>
      </c>
      <c r="E8" s="50">
        <f t="shared" si="2"/>
        <v>3051.5036160000018</v>
      </c>
      <c r="F8" s="50">
        <f t="shared" si="2"/>
        <v>3455.4485145600024</v>
      </c>
      <c r="G8" s="50">
        <f t="shared" si="2"/>
        <v>3912.3985367040032</v>
      </c>
      <c r="H8" s="50">
        <f t="shared" si="2"/>
        <v>4373.892379233489</v>
      </c>
      <c r="I8" s="50">
        <f t="shared" si="2"/>
        <v>4827.3737987446057</v>
      </c>
      <c r="J8" s="50">
        <f t="shared" si="2"/>
        <v>5258.9767746768084</v>
      </c>
      <c r="K8" s="50">
        <f t="shared" si="2"/>
        <v>5654.1434483425755</v>
      </c>
      <c r="L8" s="50">
        <f t="shared" si="2"/>
        <v>5998.3723888504783</v>
      </c>
      <c r="M8" s="50">
        <f t="shared" si="2"/>
        <v>6298.2910082930021</v>
      </c>
    </row>
    <row r="9" spans="1:13" x14ac:dyDescent="0.25">
      <c r="A9" s="17" t="s">
        <v>86</v>
      </c>
      <c r="B9" s="47">
        <f>Input!B12</f>
        <v>0.2</v>
      </c>
      <c r="C9" s="48">
        <f t="shared" ref="C9:K9" si="3">B9+($L$9-$B$9)/10</f>
        <v>0.20500000000000002</v>
      </c>
      <c r="D9" s="48">
        <f t="shared" si="3"/>
        <v>0.21000000000000002</v>
      </c>
      <c r="E9" s="48">
        <f t="shared" si="3"/>
        <v>0.21500000000000002</v>
      </c>
      <c r="F9" s="48">
        <f t="shared" si="3"/>
        <v>0.22000000000000003</v>
      </c>
      <c r="G9" s="48">
        <f t="shared" si="3"/>
        <v>0.22500000000000003</v>
      </c>
      <c r="H9" s="48">
        <f t="shared" si="3"/>
        <v>0.23000000000000004</v>
      </c>
      <c r="I9" s="48">
        <f t="shared" si="3"/>
        <v>0.23500000000000004</v>
      </c>
      <c r="J9" s="48">
        <f t="shared" si="3"/>
        <v>0.24000000000000005</v>
      </c>
      <c r="K9" s="48">
        <f t="shared" si="3"/>
        <v>0.24500000000000005</v>
      </c>
      <c r="L9" s="47">
        <f>Input!B13</f>
        <v>0.25</v>
      </c>
      <c r="M9" s="47">
        <f>L9</f>
        <v>0.25</v>
      </c>
    </row>
    <row r="10" spans="1:13" x14ac:dyDescent="0.25">
      <c r="A10" s="19" t="s">
        <v>87</v>
      </c>
      <c r="B10" s="53">
        <f t="shared" ref="B10:M10" si="4">B8*(1-B9)</f>
        <v>1680</v>
      </c>
      <c r="C10" s="53">
        <f t="shared" si="4"/>
        <v>1891.2096000000004</v>
      </c>
      <c r="D10" s="53">
        <f t="shared" si="4"/>
        <v>2128.6164480000011</v>
      </c>
      <c r="E10" s="53">
        <f t="shared" si="4"/>
        <v>2395.430338560001</v>
      </c>
      <c r="F10" s="53">
        <f t="shared" si="4"/>
        <v>2695.2498413568019</v>
      </c>
      <c r="G10" s="53">
        <f t="shared" si="4"/>
        <v>3032.1088659456022</v>
      </c>
      <c r="H10" s="53">
        <f t="shared" si="4"/>
        <v>3367.8971320097867</v>
      </c>
      <c r="I10" s="53">
        <f t="shared" si="4"/>
        <v>3692.940956039623</v>
      </c>
      <c r="J10" s="53">
        <f t="shared" si="4"/>
        <v>3996.8223487543746</v>
      </c>
      <c r="K10" s="53">
        <f t="shared" si="4"/>
        <v>4268.8783034986436</v>
      </c>
      <c r="L10" s="53">
        <f t="shared" si="4"/>
        <v>4498.7792916378585</v>
      </c>
      <c r="M10" s="53">
        <f t="shared" si="4"/>
        <v>4723.7182562197513</v>
      </c>
    </row>
    <row r="11" spans="1:13" x14ac:dyDescent="0.25">
      <c r="A11" s="17" t="s">
        <v>39</v>
      </c>
      <c r="B11" s="54"/>
      <c r="C11" s="54">
        <f>Input!B22</f>
        <v>1.3</v>
      </c>
      <c r="D11" s="54">
        <f t="shared" ref="D11:M11" si="5">C11</f>
        <v>1.3</v>
      </c>
      <c r="E11" s="54">
        <f t="shared" si="5"/>
        <v>1.3</v>
      </c>
      <c r="F11" s="54">
        <f t="shared" si="5"/>
        <v>1.3</v>
      </c>
      <c r="G11" s="54">
        <f t="shared" si="5"/>
        <v>1.3</v>
      </c>
      <c r="H11" s="54">
        <f t="shared" si="5"/>
        <v>1.3</v>
      </c>
      <c r="I11" s="54">
        <f t="shared" si="5"/>
        <v>1.3</v>
      </c>
      <c r="J11" s="54">
        <f t="shared" si="5"/>
        <v>1.3</v>
      </c>
      <c r="K11" s="54">
        <f t="shared" si="5"/>
        <v>1.3</v>
      </c>
      <c r="L11" s="54">
        <f t="shared" si="5"/>
        <v>1.3</v>
      </c>
      <c r="M11" s="54">
        <f t="shared" si="5"/>
        <v>1.3</v>
      </c>
    </row>
    <row r="12" spans="1:13" x14ac:dyDescent="0.25">
      <c r="A12" s="19" t="s">
        <v>88</v>
      </c>
      <c r="B12" s="49">
        <f>Input!B7+Input!B8-Input!B9</f>
        <v>13900</v>
      </c>
      <c r="C12" s="49">
        <f t="shared" ref="C12:M12" si="6">C6/C11</f>
        <v>15507.69230769231</v>
      </c>
      <c r="D12" s="49">
        <f t="shared" si="6"/>
        <v>17368.61538461539</v>
      </c>
      <c r="E12" s="50">
        <f t="shared" si="6"/>
        <v>19452.84923076924</v>
      </c>
      <c r="F12" s="50">
        <f t="shared" si="6"/>
        <v>21787.191138461549</v>
      </c>
      <c r="G12" s="50">
        <f t="shared" si="6"/>
        <v>24401.654075076938</v>
      </c>
      <c r="H12" s="50">
        <f t="shared" si="6"/>
        <v>26988.229407035094</v>
      </c>
      <c r="I12" s="50">
        <f t="shared" si="6"/>
        <v>29471.146512482323</v>
      </c>
      <c r="J12" s="50">
        <f t="shared" si="6"/>
        <v>31769.895940455943</v>
      </c>
      <c r="K12" s="50">
        <f t="shared" si="6"/>
        <v>33803.169280645125</v>
      </c>
      <c r="L12" s="50">
        <f t="shared" si="6"/>
        <v>35493.327744677379</v>
      </c>
      <c r="M12" s="50">
        <f t="shared" si="6"/>
        <v>37267.994131911255</v>
      </c>
    </row>
    <row r="13" spans="1:13" x14ac:dyDescent="0.25">
      <c r="A13" s="17" t="s">
        <v>89</v>
      </c>
      <c r="B13" s="55">
        <f t="shared" ref="B13:M13" si="7">B10/B12</f>
        <v>0.12086330935251799</v>
      </c>
      <c r="C13" s="55">
        <f t="shared" si="7"/>
        <v>0.12195300000000001</v>
      </c>
      <c r="D13" s="55">
        <f t="shared" si="7"/>
        <v>0.12255533333333336</v>
      </c>
      <c r="E13" s="55">
        <f t="shared" si="7"/>
        <v>0.12314033333333332</v>
      </c>
      <c r="F13" s="55">
        <f t="shared" si="7"/>
        <v>0.12370800000000003</v>
      </c>
      <c r="G13" s="55">
        <f t="shared" si="7"/>
        <v>0.12425833333333335</v>
      </c>
      <c r="H13" s="55">
        <f t="shared" si="7"/>
        <v>0.12479133333333338</v>
      </c>
      <c r="I13" s="55">
        <f t="shared" si="7"/>
        <v>0.12530700000000003</v>
      </c>
      <c r="J13" s="55">
        <f t="shared" si="7"/>
        <v>0.12580533333333338</v>
      </c>
      <c r="K13" s="55">
        <f t="shared" si="7"/>
        <v>0.12628633333333333</v>
      </c>
      <c r="L13" s="55">
        <f t="shared" si="7"/>
        <v>0.12675000000000003</v>
      </c>
      <c r="M13" s="55">
        <f t="shared" si="7"/>
        <v>0.12675</v>
      </c>
    </row>
    <row r="14" spans="1:13" x14ac:dyDescent="0.25">
      <c r="A14" s="19" t="s">
        <v>90</v>
      </c>
      <c r="B14" s="19"/>
      <c r="C14" s="49">
        <f t="shared" ref="C14:M14" si="8">C12-B12</f>
        <v>1607.6923076923104</v>
      </c>
      <c r="D14" s="49">
        <f t="shared" si="8"/>
        <v>1860.9230769230799</v>
      </c>
      <c r="E14" s="49">
        <f t="shared" si="8"/>
        <v>2084.2338461538493</v>
      </c>
      <c r="F14" s="49">
        <f t="shared" si="8"/>
        <v>2334.3419076923092</v>
      </c>
      <c r="G14" s="49">
        <f t="shared" si="8"/>
        <v>2614.4629366153895</v>
      </c>
      <c r="H14" s="49">
        <f t="shared" si="8"/>
        <v>2586.5753319581563</v>
      </c>
      <c r="I14" s="49">
        <f t="shared" si="8"/>
        <v>2482.9171054472281</v>
      </c>
      <c r="J14" s="49">
        <f t="shared" si="8"/>
        <v>2298.7494279736202</v>
      </c>
      <c r="K14" s="49">
        <f t="shared" si="8"/>
        <v>2033.2733401891819</v>
      </c>
      <c r="L14" s="49">
        <f t="shared" si="8"/>
        <v>1690.1584640322544</v>
      </c>
      <c r="M14" s="49">
        <f t="shared" si="8"/>
        <v>1774.6663872338759</v>
      </c>
    </row>
    <row r="15" spans="1:13" x14ac:dyDescent="0.25">
      <c r="A15" s="17" t="s">
        <v>91</v>
      </c>
      <c r="B15" s="17"/>
      <c r="C15" s="56">
        <f t="shared" ref="C15:M15" si="9">C10-C14</f>
        <v>283.51729230769001</v>
      </c>
      <c r="D15" s="56">
        <f t="shared" si="9"/>
        <v>267.69337107692127</v>
      </c>
      <c r="E15" s="56">
        <f t="shared" si="9"/>
        <v>311.19649240615172</v>
      </c>
      <c r="F15" s="56">
        <f t="shared" si="9"/>
        <v>360.9079336644927</v>
      </c>
      <c r="G15" s="56">
        <f t="shared" si="9"/>
        <v>417.64592933021277</v>
      </c>
      <c r="H15" s="56">
        <f t="shared" si="9"/>
        <v>781.32180005163036</v>
      </c>
      <c r="I15" s="56">
        <f t="shared" si="9"/>
        <v>1210.0238505923949</v>
      </c>
      <c r="J15" s="56">
        <f t="shared" si="9"/>
        <v>1698.0729207807544</v>
      </c>
      <c r="K15" s="56">
        <f t="shared" si="9"/>
        <v>2235.6049633094617</v>
      </c>
      <c r="L15" s="56">
        <f t="shared" si="9"/>
        <v>2808.6208276056041</v>
      </c>
      <c r="M15" s="56">
        <f t="shared" si="9"/>
        <v>2949.0518689858754</v>
      </c>
    </row>
    <row r="16" spans="1:13" x14ac:dyDescent="0.25">
      <c r="A16" s="19" t="s">
        <v>92</v>
      </c>
      <c r="B16" s="19"/>
      <c r="C16" s="57">
        <f>'Cost of Capital'!B24</f>
        <v>9.0808654583567391E-2</v>
      </c>
      <c r="D16" s="57">
        <f>Table1[[#This Row],[1]]</f>
        <v>9.0808654583567391E-2</v>
      </c>
      <c r="E16" s="57">
        <f>Table1[[#This Row],[2]]</f>
        <v>9.0808654583567391E-2</v>
      </c>
      <c r="F16" s="57">
        <f>Table1[[#This Row],[3]]</f>
        <v>9.0808654583567391E-2</v>
      </c>
      <c r="G16" s="57">
        <f>Table1[[#This Row],[4]]</f>
        <v>9.0808654583567391E-2</v>
      </c>
      <c r="H16" s="57">
        <f>Table1[[#This Row],[5]]</f>
        <v>9.0808654583567391E-2</v>
      </c>
      <c r="I16" s="57">
        <f>Table1[[#This Row],[6]]</f>
        <v>9.0808654583567391E-2</v>
      </c>
      <c r="J16" s="57">
        <f>Table1[[#This Row],[7]]</f>
        <v>9.0808654583567391E-2</v>
      </c>
      <c r="K16" s="57">
        <f>Table1[[#This Row],[8]]</f>
        <v>9.0808654583567391E-2</v>
      </c>
      <c r="L16" s="57">
        <f>Table1[[#This Row],[9]]</f>
        <v>9.0808654583567391E-2</v>
      </c>
      <c r="M16" s="57">
        <f>Table1[[#This Row],[10]]</f>
        <v>9.0808654583567391E-2</v>
      </c>
    </row>
    <row r="17" spans="1:13" x14ac:dyDescent="0.25">
      <c r="A17" s="17" t="s">
        <v>93</v>
      </c>
      <c r="B17" s="17"/>
      <c r="C17" s="58">
        <f>1/(1+C16)</f>
        <v>0.91675106884971047</v>
      </c>
      <c r="D17" s="58">
        <f t="shared" ref="D17:L17" si="10">C17/(1+D16)</f>
        <v>0.84043252223708664</v>
      </c>
      <c r="E17" s="58">
        <f t="shared" si="10"/>
        <v>0.77046741305690725</v>
      </c>
      <c r="F17" s="58">
        <f t="shared" si="10"/>
        <v>0.70632682443379113</v>
      </c>
      <c r="G17" s="58">
        <f t="shared" si="10"/>
        <v>0.64752587125689987</v>
      </c>
      <c r="H17" s="58">
        <f t="shared" si="10"/>
        <v>0.59362003458260293</v>
      </c>
      <c r="I17" s="58">
        <f t="shared" si="10"/>
        <v>0.54420180119420336</v>
      </c>
      <c r="J17" s="58">
        <f t="shared" si="10"/>
        <v>0.49889758291472358</v>
      </c>
      <c r="K17" s="58">
        <f t="shared" si="10"/>
        <v>0.45736489238360989</v>
      </c>
      <c r="L17" s="58">
        <f t="shared" si="10"/>
        <v>0.41928975394700718</v>
      </c>
      <c r="M17" s="17"/>
    </row>
    <row r="18" spans="1:13" x14ac:dyDescent="0.25">
      <c r="A18" s="19" t="s">
        <v>94</v>
      </c>
      <c r="B18" s="19"/>
      <c r="C18" s="59">
        <f t="shared" ref="C18:L18" si="11">C15*C17</f>
        <v>259.91478076045064</v>
      </c>
      <c r="D18" s="59">
        <f t="shared" si="11"/>
        <v>224.97821504032532</v>
      </c>
      <c r="E18" s="59">
        <f t="shared" si="11"/>
        <v>239.76675645655121</v>
      </c>
      <c r="F18" s="59">
        <f t="shared" si="11"/>
        <v>254.91895469820247</v>
      </c>
      <c r="G18" s="59">
        <f t="shared" si="11"/>
        <v>270.43654426644366</v>
      </c>
      <c r="H18" s="59">
        <f t="shared" si="11"/>
        <v>463.80827396679041</v>
      </c>
      <c r="I18" s="59">
        <f t="shared" si="11"/>
        <v>658.49715898032684</v>
      </c>
      <c r="J18" s="59">
        <f t="shared" si="11"/>
        <v>847.16447579046326</v>
      </c>
      <c r="K18" s="59">
        <f t="shared" si="11"/>
        <v>1022.4872234562961</v>
      </c>
      <c r="L18" s="59">
        <f t="shared" si="11"/>
        <v>1177.6259357371935</v>
      </c>
      <c r="M18" s="19"/>
    </row>
    <row r="20" spans="1:13" ht="18.75" customHeight="1" x14ac:dyDescent="0.3">
      <c r="A20" s="45" t="s">
        <v>95</v>
      </c>
    </row>
    <row r="21" spans="1:13" x14ac:dyDescent="0.25">
      <c r="A21" s="21" t="s">
        <v>21</v>
      </c>
      <c r="B21" s="21" t="s">
        <v>96</v>
      </c>
    </row>
    <row r="22" spans="1:13" x14ac:dyDescent="0.25">
      <c r="A22" s="17" t="s">
        <v>97</v>
      </c>
      <c r="B22" s="41">
        <f>SUM(C18:L18)</f>
        <v>5419.598319153044</v>
      </c>
    </row>
    <row r="23" spans="1:13" x14ac:dyDescent="0.25">
      <c r="A23" s="19" t="s">
        <v>98</v>
      </c>
      <c r="B23" s="40">
        <f>M15/(M16-M5)</f>
        <v>72265.35398139256</v>
      </c>
    </row>
    <row r="24" spans="1:13" x14ac:dyDescent="0.25">
      <c r="A24" s="17" t="s">
        <v>99</v>
      </c>
      <c r="B24" s="41">
        <f>B23*L17</f>
        <v>30300.122489751462</v>
      </c>
    </row>
    <row r="25" spans="1:13" x14ac:dyDescent="0.25">
      <c r="A25" s="19" t="s">
        <v>100</v>
      </c>
      <c r="B25" s="40">
        <f>B22+B24</f>
        <v>35719.720808904509</v>
      </c>
    </row>
    <row r="26" spans="1:13" x14ac:dyDescent="0.25">
      <c r="A26" s="17" t="s">
        <v>101</v>
      </c>
      <c r="B26" s="41">
        <f>'Cost of Capital'!B15</f>
        <v>10513.159214136676</v>
      </c>
    </row>
    <row r="27" spans="1:13" x14ac:dyDescent="0.25">
      <c r="A27" s="19" t="s">
        <v>102</v>
      </c>
      <c r="B27" s="40">
        <f>Input!B9</f>
        <v>800</v>
      </c>
    </row>
    <row r="28" spans="1:13" x14ac:dyDescent="0.25">
      <c r="A28" s="17" t="s">
        <v>103</v>
      </c>
      <c r="B28" s="41">
        <f>B25-B26+B27</f>
        <v>26006.561594767831</v>
      </c>
    </row>
    <row r="29" spans="1:13" x14ac:dyDescent="0.25">
      <c r="A29" s="19" t="s">
        <v>104</v>
      </c>
      <c r="B29" s="40">
        <f>Input!B10</f>
        <v>199</v>
      </c>
    </row>
    <row r="30" spans="1:13" x14ac:dyDescent="0.25">
      <c r="A30" s="17" t="s">
        <v>105</v>
      </c>
      <c r="B30" s="41">
        <f>B28/B29</f>
        <v>130.68623916968758</v>
      </c>
    </row>
    <row r="31" spans="1:13" x14ac:dyDescent="0.25">
      <c r="A31" s="19" t="s">
        <v>106</v>
      </c>
      <c r="B31" s="40">
        <f>Input!B11</f>
        <v>100</v>
      </c>
    </row>
    <row r="32" spans="1:13" x14ac:dyDescent="0.25">
      <c r="A32" s="17" t="s">
        <v>107</v>
      </c>
      <c r="B32" s="60">
        <f>B31/B30</f>
        <v>0.76519150474715636</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1"/>
  <sheetViews>
    <sheetView workbookViewId="0"/>
  </sheetViews>
  <sheetFormatPr defaultRowHeight="15" x14ac:dyDescent="0.25"/>
  <cols>
    <col min="1" max="1" width="27.25" customWidth="1"/>
    <col min="2" max="2" width="12.625" customWidth="1"/>
    <col min="3" max="3" width="15.625" customWidth="1"/>
    <col min="4" max="12" width="10.75" customWidth="1"/>
    <col min="13" max="13" width="15.625" customWidth="1"/>
  </cols>
  <sheetData>
    <row r="1" spans="1:13" ht="21" customHeight="1" x14ac:dyDescent="0.35">
      <c r="A1" s="46" t="s">
        <v>108</v>
      </c>
    </row>
    <row r="2" spans="1:13" x14ac:dyDescent="0.25">
      <c r="A2" s="1"/>
    </row>
    <row r="3" spans="1:13" ht="18.75" customHeight="1" x14ac:dyDescent="0.3">
      <c r="A3" s="45" t="s">
        <v>109</v>
      </c>
    </row>
    <row r="4" spans="1:13" ht="16.5" customHeight="1" thickBot="1" x14ac:dyDescent="0.3">
      <c r="A4" s="21" t="s">
        <v>69</v>
      </c>
      <c r="B4" s="21" t="s">
        <v>70</v>
      </c>
      <c r="C4" s="21" t="s">
        <v>71</v>
      </c>
      <c r="D4" s="21" t="s">
        <v>72</v>
      </c>
      <c r="E4" s="21" t="s">
        <v>73</v>
      </c>
      <c r="F4" s="21" t="s">
        <v>74</v>
      </c>
      <c r="G4" s="21" t="s">
        <v>75</v>
      </c>
      <c r="H4" s="21" t="s">
        <v>76</v>
      </c>
      <c r="I4" s="21" t="s">
        <v>77</v>
      </c>
      <c r="J4" s="21" t="s">
        <v>78</v>
      </c>
      <c r="K4" s="21" t="s">
        <v>79</v>
      </c>
      <c r="L4" s="21" t="s">
        <v>80</v>
      </c>
      <c r="M4" s="21" t="s">
        <v>81</v>
      </c>
    </row>
    <row r="5" spans="1:13" x14ac:dyDescent="0.25">
      <c r="A5" s="17" t="s">
        <v>82</v>
      </c>
      <c r="B5" s="61"/>
      <c r="C5" s="67">
        <f>Input!B17</f>
        <v>0.12</v>
      </c>
      <c r="D5" s="67">
        <f>C5</f>
        <v>0.12</v>
      </c>
      <c r="E5" s="67">
        <f>D5</f>
        <v>0.12</v>
      </c>
      <c r="F5" s="67">
        <f>E5</f>
        <v>0.12</v>
      </c>
      <c r="G5" s="67">
        <f>F5</f>
        <v>0.12</v>
      </c>
      <c r="H5" s="68">
        <f>G5-($G$5-$L$5)/Input!$B$21</f>
        <v>0.106</v>
      </c>
      <c r="I5" s="68">
        <f>H5-($G$5-$L$5)/Input!$B$21</f>
        <v>9.1999999999999998E-2</v>
      </c>
      <c r="J5" s="68">
        <f>I5-($G$5-$L$5)/Input!$B$21</f>
        <v>7.8E-2</v>
      </c>
      <c r="K5" s="68">
        <f>J5-($G$5-$L$5)/Input!$B$21</f>
        <v>6.4000000000000001E-2</v>
      </c>
      <c r="L5" s="67">
        <f>Input!B18</f>
        <v>0.05</v>
      </c>
      <c r="M5" s="67">
        <f>L5</f>
        <v>0.05</v>
      </c>
    </row>
    <row r="6" spans="1:13" x14ac:dyDescent="0.25">
      <c r="A6" s="19" t="s">
        <v>83</v>
      </c>
      <c r="B6" s="65">
        <f>Input!B4</f>
        <v>18000</v>
      </c>
      <c r="C6" s="65">
        <f t="shared" ref="C6:M6" si="0">B6*(1+C5)</f>
        <v>20160.000000000004</v>
      </c>
      <c r="D6" s="65">
        <f t="shared" si="0"/>
        <v>22579.200000000008</v>
      </c>
      <c r="E6" s="69">
        <f t="shared" si="0"/>
        <v>25288.704000000012</v>
      </c>
      <c r="F6" s="69">
        <f t="shared" si="0"/>
        <v>28323.348480000015</v>
      </c>
      <c r="G6" s="69">
        <f t="shared" si="0"/>
        <v>31722.150297600019</v>
      </c>
      <c r="H6" s="69">
        <f t="shared" si="0"/>
        <v>35084.698229145622</v>
      </c>
      <c r="I6" s="69">
        <f t="shared" si="0"/>
        <v>38312.49046622702</v>
      </c>
      <c r="J6" s="69">
        <f t="shared" si="0"/>
        <v>41300.864722592727</v>
      </c>
      <c r="K6" s="69">
        <f t="shared" si="0"/>
        <v>43944.120064838666</v>
      </c>
      <c r="L6" s="69">
        <f t="shared" si="0"/>
        <v>46141.326068080598</v>
      </c>
      <c r="M6" s="69">
        <f t="shared" si="0"/>
        <v>48448.392371484631</v>
      </c>
    </row>
    <row r="7" spans="1:13" x14ac:dyDescent="0.25">
      <c r="A7" s="17" t="s">
        <v>110</v>
      </c>
      <c r="B7" s="70">
        <f>Input!B19</f>
        <v>0.11666666666666667</v>
      </c>
      <c r="C7" s="70">
        <f t="shared" ref="C7:K7" si="1">B7+($L$7-$B$7)/10</f>
        <v>0.11800000000000001</v>
      </c>
      <c r="D7" s="70">
        <f t="shared" si="1"/>
        <v>0.11933333333333335</v>
      </c>
      <c r="E7" s="70">
        <f t="shared" si="1"/>
        <v>0.12066666666666669</v>
      </c>
      <c r="F7" s="70">
        <f t="shared" si="1"/>
        <v>0.12200000000000003</v>
      </c>
      <c r="G7" s="70">
        <f t="shared" si="1"/>
        <v>0.12333333333333336</v>
      </c>
      <c r="H7" s="70">
        <f t="shared" si="1"/>
        <v>0.1246666666666667</v>
      </c>
      <c r="I7" s="70">
        <f t="shared" si="1"/>
        <v>0.12600000000000003</v>
      </c>
      <c r="J7" s="70">
        <f t="shared" si="1"/>
        <v>0.12733333333333335</v>
      </c>
      <c r="K7" s="70">
        <f t="shared" si="1"/>
        <v>0.12866666666666668</v>
      </c>
      <c r="L7" s="67">
        <f>Input!B20</f>
        <v>0.13</v>
      </c>
      <c r="M7" s="67">
        <f>L7</f>
        <v>0.13</v>
      </c>
    </row>
    <row r="8" spans="1:13" x14ac:dyDescent="0.25">
      <c r="A8" s="81" t="s">
        <v>111</v>
      </c>
      <c r="B8" s="64">
        <f>Input!B34</f>
        <v>200</v>
      </c>
      <c r="C8" s="65">
        <f>B8*(1+Input!$B$35)</f>
        <v>206</v>
      </c>
      <c r="D8" s="65">
        <f>C8*(1+Input!$B$35)</f>
        <v>212.18</v>
      </c>
      <c r="E8" s="65">
        <f>D8*(1+Input!$B$35)</f>
        <v>218.5454</v>
      </c>
      <c r="F8" s="65">
        <f>E8*(1+Input!$B$35)</f>
        <v>225.10176200000001</v>
      </c>
      <c r="G8" s="65">
        <f>F8*(1+Input!$B$35)</f>
        <v>231.85481486</v>
      </c>
      <c r="H8" s="65">
        <f>G8*(1+Input!$B$35)</f>
        <v>238.81045930580001</v>
      </c>
      <c r="I8" s="65">
        <f>H8*(1+Input!$B$35)</f>
        <v>245.974773084974</v>
      </c>
      <c r="J8" s="65">
        <f>I8*(1+Input!$B$35)</f>
        <v>253.35401627752324</v>
      </c>
      <c r="K8" s="65">
        <f>J8*(1+Input!$B$35)</f>
        <v>260.95463676584893</v>
      </c>
      <c r="L8" s="65">
        <f>K8*(1+Input!$B$35)</f>
        <v>268.78327586882443</v>
      </c>
      <c r="M8" s="65">
        <f>L8*(1+Input!$B$35)</f>
        <v>276.8467741448892</v>
      </c>
    </row>
    <row r="9" spans="1:13" x14ac:dyDescent="0.25">
      <c r="A9" s="17" t="s">
        <v>112</v>
      </c>
      <c r="B9" s="62">
        <f t="shared" ref="B9:M9" si="2">B6*B7-B8</f>
        <v>1900</v>
      </c>
      <c r="C9" s="62">
        <f t="shared" si="2"/>
        <v>2172.8800000000006</v>
      </c>
      <c r="D9" s="62">
        <f t="shared" si="2"/>
        <v>2482.2712000000015</v>
      </c>
      <c r="E9" s="62">
        <f t="shared" si="2"/>
        <v>2832.9582160000018</v>
      </c>
      <c r="F9" s="62">
        <f t="shared" si="2"/>
        <v>3230.3467525600026</v>
      </c>
      <c r="G9" s="62">
        <f t="shared" si="2"/>
        <v>3680.5437218440034</v>
      </c>
      <c r="H9" s="62">
        <f t="shared" si="2"/>
        <v>4135.0819199276893</v>
      </c>
      <c r="I9" s="62">
        <f t="shared" si="2"/>
        <v>4581.3990256596317</v>
      </c>
      <c r="J9" s="62">
        <f t="shared" si="2"/>
        <v>5005.622758399285</v>
      </c>
      <c r="K9" s="62">
        <f t="shared" si="2"/>
        <v>5393.1888115767269</v>
      </c>
      <c r="L9" s="62">
        <f t="shared" si="2"/>
        <v>5729.5891129816537</v>
      </c>
      <c r="M9" s="62">
        <f t="shared" si="2"/>
        <v>6021.4442341481126</v>
      </c>
    </row>
    <row r="10" spans="1:13" x14ac:dyDescent="0.25">
      <c r="A10" s="19" t="s">
        <v>86</v>
      </c>
      <c r="B10" s="71">
        <f>Input!B12</f>
        <v>0.2</v>
      </c>
      <c r="C10" s="72">
        <f t="shared" ref="C10:K10" si="3">B10+($L$10-$B$10)/10</f>
        <v>0.20500000000000002</v>
      </c>
      <c r="D10" s="72">
        <f t="shared" si="3"/>
        <v>0.21000000000000002</v>
      </c>
      <c r="E10" s="72">
        <f t="shared" si="3"/>
        <v>0.21500000000000002</v>
      </c>
      <c r="F10" s="72">
        <f t="shared" si="3"/>
        <v>0.22000000000000003</v>
      </c>
      <c r="G10" s="72">
        <f t="shared" si="3"/>
        <v>0.22500000000000003</v>
      </c>
      <c r="H10" s="72">
        <f t="shared" si="3"/>
        <v>0.23000000000000004</v>
      </c>
      <c r="I10" s="72">
        <f t="shared" si="3"/>
        <v>0.23500000000000004</v>
      </c>
      <c r="J10" s="72">
        <f t="shared" si="3"/>
        <v>0.24000000000000005</v>
      </c>
      <c r="K10" s="72">
        <f t="shared" si="3"/>
        <v>0.24500000000000005</v>
      </c>
      <c r="L10" s="71">
        <f>Input!B13</f>
        <v>0.25</v>
      </c>
      <c r="M10" s="71">
        <f>L10</f>
        <v>0.25</v>
      </c>
    </row>
    <row r="11" spans="1:13" x14ac:dyDescent="0.25">
      <c r="A11" s="17" t="s">
        <v>113</v>
      </c>
      <c r="B11" s="73">
        <f t="shared" ref="B11:M11" si="4">B9*(1-B10)</f>
        <v>1520</v>
      </c>
      <c r="C11" s="73">
        <f t="shared" si="4"/>
        <v>1727.4396000000004</v>
      </c>
      <c r="D11" s="73">
        <f t="shared" si="4"/>
        <v>1960.9942480000013</v>
      </c>
      <c r="E11" s="73">
        <f t="shared" si="4"/>
        <v>2223.8721995600013</v>
      </c>
      <c r="F11" s="73">
        <f t="shared" si="4"/>
        <v>2519.6704669968021</v>
      </c>
      <c r="G11" s="73">
        <f t="shared" si="4"/>
        <v>2852.4213844291021</v>
      </c>
      <c r="H11" s="73">
        <f t="shared" si="4"/>
        <v>3184.013078344321</v>
      </c>
      <c r="I11" s="73">
        <f t="shared" si="4"/>
        <v>3504.7702546296177</v>
      </c>
      <c r="J11" s="73">
        <f t="shared" si="4"/>
        <v>3804.2732963834565</v>
      </c>
      <c r="K11" s="73">
        <f t="shared" si="4"/>
        <v>4071.8575527404282</v>
      </c>
      <c r="L11" s="73">
        <f t="shared" si="4"/>
        <v>4297.1918347362407</v>
      </c>
      <c r="M11" s="73">
        <f t="shared" si="4"/>
        <v>4516.0831756110847</v>
      </c>
    </row>
    <row r="12" spans="1:13" x14ac:dyDescent="0.25">
      <c r="A12" s="19" t="s">
        <v>39</v>
      </c>
      <c r="B12" s="74"/>
      <c r="C12" s="74">
        <f>Input!B22</f>
        <v>1.3</v>
      </c>
      <c r="D12" s="74">
        <f t="shared" ref="D12:M12" si="5">C12</f>
        <v>1.3</v>
      </c>
      <c r="E12" s="74">
        <f t="shared" si="5"/>
        <v>1.3</v>
      </c>
      <c r="F12" s="74">
        <f t="shared" si="5"/>
        <v>1.3</v>
      </c>
      <c r="G12" s="74">
        <f t="shared" si="5"/>
        <v>1.3</v>
      </c>
      <c r="H12" s="74">
        <f t="shared" si="5"/>
        <v>1.3</v>
      </c>
      <c r="I12" s="74">
        <f t="shared" si="5"/>
        <v>1.3</v>
      </c>
      <c r="J12" s="74">
        <f t="shared" si="5"/>
        <v>1.3</v>
      </c>
      <c r="K12" s="74">
        <f t="shared" si="5"/>
        <v>1.3</v>
      </c>
      <c r="L12" s="74">
        <f t="shared" si="5"/>
        <v>1.3</v>
      </c>
      <c r="M12" s="74">
        <f t="shared" si="5"/>
        <v>1.3</v>
      </c>
    </row>
    <row r="13" spans="1:13" x14ac:dyDescent="0.25">
      <c r="A13" s="17" t="s">
        <v>88</v>
      </c>
      <c r="B13" s="66">
        <f>Input!B7+Input!B8-Input!B9</f>
        <v>13900</v>
      </c>
      <c r="C13" s="66">
        <f t="shared" ref="C13:M13" si="6">C6/C12</f>
        <v>15507.69230769231</v>
      </c>
      <c r="D13" s="66">
        <f t="shared" si="6"/>
        <v>17368.61538461539</v>
      </c>
      <c r="E13" s="75">
        <f t="shared" si="6"/>
        <v>19452.84923076924</v>
      </c>
      <c r="F13" s="75">
        <f t="shared" si="6"/>
        <v>21787.191138461549</v>
      </c>
      <c r="G13" s="75">
        <f t="shared" si="6"/>
        <v>24401.654075076938</v>
      </c>
      <c r="H13" s="75">
        <f t="shared" si="6"/>
        <v>26988.229407035094</v>
      </c>
      <c r="I13" s="75">
        <f t="shared" si="6"/>
        <v>29471.146512482323</v>
      </c>
      <c r="J13" s="75">
        <f t="shared" si="6"/>
        <v>31769.895940455943</v>
      </c>
      <c r="K13" s="75">
        <f t="shared" si="6"/>
        <v>33803.169280645125</v>
      </c>
      <c r="L13" s="75">
        <f t="shared" si="6"/>
        <v>35493.327744677379</v>
      </c>
      <c r="M13" s="75">
        <f t="shared" si="6"/>
        <v>37267.994131911255</v>
      </c>
    </row>
    <row r="14" spans="1:13" x14ac:dyDescent="0.25">
      <c r="A14" s="19" t="s">
        <v>114</v>
      </c>
      <c r="B14" s="76">
        <f t="shared" ref="B14:M14" si="7">B11/B13</f>
        <v>0.10935251798561151</v>
      </c>
      <c r="C14" s="76">
        <f t="shared" si="7"/>
        <v>0.11139243452380954</v>
      </c>
      <c r="D14" s="76">
        <f t="shared" si="7"/>
        <v>0.11290446616354879</v>
      </c>
      <c r="E14" s="76">
        <f t="shared" si="7"/>
        <v>0.11432115538336801</v>
      </c>
      <c r="F14" s="76">
        <f t="shared" si="7"/>
        <v>0.115649165189943</v>
      </c>
      <c r="G14" s="76">
        <f t="shared" si="7"/>
        <v>0.11689459147535712</v>
      </c>
      <c r="H14" s="76">
        <f t="shared" si="7"/>
        <v>0.11797784250026924</v>
      </c>
      <c r="I14" s="76">
        <f t="shared" si="7"/>
        <v>0.11892208717245506</v>
      </c>
      <c r="J14" s="76">
        <f t="shared" si="7"/>
        <v>0.11974459417536448</v>
      </c>
      <c r="K14" s="76">
        <f t="shared" si="7"/>
        <v>0.12045786354925823</v>
      </c>
      <c r="L14" s="76">
        <f t="shared" si="7"/>
        <v>0.12107041260397604</v>
      </c>
      <c r="M14" s="76">
        <f t="shared" si="7"/>
        <v>0.12117859522104313</v>
      </c>
    </row>
    <row r="15" spans="1:13" x14ac:dyDescent="0.25">
      <c r="A15" s="17" t="s">
        <v>90</v>
      </c>
      <c r="B15" s="61"/>
      <c r="C15" s="66">
        <f t="shared" ref="C15:M15" si="8">C13-B13</f>
        <v>1607.6923076923104</v>
      </c>
      <c r="D15" s="66">
        <f t="shared" si="8"/>
        <v>1860.9230769230799</v>
      </c>
      <c r="E15" s="66">
        <f t="shared" si="8"/>
        <v>2084.2338461538493</v>
      </c>
      <c r="F15" s="66">
        <f t="shared" si="8"/>
        <v>2334.3419076923092</v>
      </c>
      <c r="G15" s="66">
        <f t="shared" si="8"/>
        <v>2614.4629366153895</v>
      </c>
      <c r="H15" s="66">
        <f t="shared" si="8"/>
        <v>2586.5753319581563</v>
      </c>
      <c r="I15" s="66">
        <f t="shared" si="8"/>
        <v>2482.9171054472281</v>
      </c>
      <c r="J15" s="66">
        <f t="shared" si="8"/>
        <v>2298.7494279736202</v>
      </c>
      <c r="K15" s="66">
        <f t="shared" si="8"/>
        <v>2033.2733401891819</v>
      </c>
      <c r="L15" s="66">
        <f t="shared" si="8"/>
        <v>1690.1584640322544</v>
      </c>
      <c r="M15" s="66">
        <f t="shared" si="8"/>
        <v>1774.6663872338759</v>
      </c>
    </row>
    <row r="16" spans="1:13" x14ac:dyDescent="0.25">
      <c r="A16" s="19" t="s">
        <v>91</v>
      </c>
      <c r="B16" s="63"/>
      <c r="C16" s="77">
        <f t="shared" ref="C16:M16" si="9">C11-C15</f>
        <v>119.74729230769003</v>
      </c>
      <c r="D16" s="77">
        <f t="shared" si="9"/>
        <v>100.07117107692147</v>
      </c>
      <c r="E16" s="77">
        <f t="shared" si="9"/>
        <v>139.63835340615196</v>
      </c>
      <c r="F16" s="77">
        <f t="shared" si="9"/>
        <v>185.32855930449296</v>
      </c>
      <c r="G16" s="77">
        <f t="shared" si="9"/>
        <v>237.95844781371261</v>
      </c>
      <c r="H16" s="77">
        <f t="shared" si="9"/>
        <v>597.43774638616469</v>
      </c>
      <c r="I16" s="77">
        <f t="shared" si="9"/>
        <v>1021.8531491823896</v>
      </c>
      <c r="J16" s="77">
        <f t="shared" si="9"/>
        <v>1505.5238684098363</v>
      </c>
      <c r="K16" s="77">
        <f t="shared" si="9"/>
        <v>2038.5842125512463</v>
      </c>
      <c r="L16" s="77">
        <f t="shared" si="9"/>
        <v>2607.0333707039863</v>
      </c>
      <c r="M16" s="77">
        <f t="shared" si="9"/>
        <v>2741.4167883772088</v>
      </c>
    </row>
    <row r="17" spans="1:13" x14ac:dyDescent="0.25">
      <c r="A17" s="17" t="s">
        <v>92</v>
      </c>
      <c r="B17" s="61"/>
      <c r="C17" s="70">
        <f>'Cost of Capital'!B30</f>
        <v>9.1097375191551075E-2</v>
      </c>
      <c r="D17" s="70">
        <f>Table14[[#This Row],[1]]</f>
        <v>9.1097375191551075E-2</v>
      </c>
      <c r="E17" s="70">
        <f>Table14[[#This Row],[2]]</f>
        <v>9.1097375191551075E-2</v>
      </c>
      <c r="F17" s="70">
        <f>Table14[[#This Row],[3]]</f>
        <v>9.1097375191551075E-2</v>
      </c>
      <c r="G17" s="70">
        <f>Table14[[#This Row],[4]]</f>
        <v>9.1097375191551075E-2</v>
      </c>
      <c r="H17" s="70">
        <f>Table14[[#This Row],[5]]</f>
        <v>9.1097375191551075E-2</v>
      </c>
      <c r="I17" s="70">
        <f>Table14[[#This Row],[6]]</f>
        <v>9.1097375191551075E-2</v>
      </c>
      <c r="J17" s="70">
        <f>Table14[[#This Row],[7]]</f>
        <v>9.1097375191551075E-2</v>
      </c>
      <c r="K17" s="70">
        <f>Table14[[#This Row],[8]]</f>
        <v>9.1097375191551075E-2</v>
      </c>
      <c r="L17" s="70">
        <f>Table14[[#This Row],[9]]</f>
        <v>9.1097375191551075E-2</v>
      </c>
      <c r="M17" s="70">
        <f>Table14[[#This Row],[10]]</f>
        <v>9.1097375191551075E-2</v>
      </c>
    </row>
    <row r="18" spans="1:13" x14ac:dyDescent="0.25">
      <c r="A18" s="19" t="s">
        <v>93</v>
      </c>
      <c r="B18" s="63"/>
      <c r="C18" s="78">
        <f>1/(1+C17)</f>
        <v>0.91650848286977293</v>
      </c>
      <c r="D18" s="78">
        <f t="shared" ref="D18:L18" si="10">C18/(1+D17)</f>
        <v>0.83998779917225286</v>
      </c>
      <c r="E18" s="78">
        <f t="shared" si="10"/>
        <v>0.76985594344848096</v>
      </c>
      <c r="F18" s="78">
        <f t="shared" si="10"/>
        <v>0.70557950275824499</v>
      </c>
      <c r="G18" s="78">
        <f t="shared" si="10"/>
        <v>0.64666959961696791</v>
      </c>
      <c r="H18" s="78">
        <f t="shared" si="10"/>
        <v>0.59267817366295072</v>
      </c>
      <c r="I18" s="78">
        <f t="shared" si="10"/>
        <v>0.54319457377385882</v>
      </c>
      <c r="J18" s="78">
        <f t="shared" si="10"/>
        <v>0.49784243471257233</v>
      </c>
      <c r="K18" s="78">
        <f t="shared" si="10"/>
        <v>0.45627681454661367</v>
      </c>
      <c r="L18" s="78">
        <f t="shared" si="10"/>
        <v>0.41818157106876963</v>
      </c>
      <c r="M18" s="63"/>
    </row>
    <row r="19" spans="1:13" x14ac:dyDescent="0.25">
      <c r="A19" s="17" t="s">
        <v>94</v>
      </c>
      <c r="B19" s="61"/>
      <c r="C19" s="79">
        <f t="shared" ref="C19:L19" si="11">C16*C18</f>
        <v>109.74940920068423</v>
      </c>
      <c r="D19" s="79">
        <f t="shared" si="11"/>
        <v>84.058562753493277</v>
      </c>
      <c r="E19" s="79">
        <f t="shared" si="11"/>
        <v>107.50141630308552</v>
      </c>
      <c r="F19" s="79">
        <f t="shared" si="11"/>
        <v>130.76403272096607</v>
      </c>
      <c r="G19" s="79">
        <f t="shared" si="11"/>
        <v>153.88049417316867</v>
      </c>
      <c r="H19" s="79">
        <f t="shared" si="11"/>
        <v>354.08831240546124</v>
      </c>
      <c r="I19" s="79">
        <f t="shared" si="11"/>
        <v>555.0650858296035</v>
      </c>
      <c r="J19" s="79">
        <f t="shared" si="11"/>
        <v>749.51366816704331</v>
      </c>
      <c r="K19" s="79">
        <f t="shared" si="11"/>
        <v>930.15871068789943</v>
      </c>
      <c r="L19" s="79">
        <f t="shared" si="11"/>
        <v>1090.213310789703</v>
      </c>
      <c r="M19" s="61"/>
    </row>
    <row r="21" spans="1:13" ht="18.75" customHeight="1" x14ac:dyDescent="0.3">
      <c r="A21" s="45" t="s">
        <v>95</v>
      </c>
    </row>
    <row r="22" spans="1:13" x14ac:dyDescent="0.25">
      <c r="A22" s="21" t="s">
        <v>21</v>
      </c>
      <c r="B22" s="21" t="s">
        <v>96</v>
      </c>
    </row>
    <row r="23" spans="1:13" x14ac:dyDescent="0.25">
      <c r="A23" s="17" t="s">
        <v>97</v>
      </c>
      <c r="B23" s="41">
        <f>SUM(C19:L19)</f>
        <v>4264.9930030311079</v>
      </c>
    </row>
    <row r="24" spans="1:13" x14ac:dyDescent="0.25">
      <c r="A24" s="19" t="s">
        <v>98</v>
      </c>
      <c r="B24" s="40">
        <f>M16/(M17-M5)</f>
        <v>66705.398473739944</v>
      </c>
    </row>
    <row r="25" spans="1:13" x14ac:dyDescent="0.25">
      <c r="A25" s="17" t="s">
        <v>99</v>
      </c>
      <c r="B25" s="41">
        <f>B24*L18</f>
        <v>27894.968332516877</v>
      </c>
    </row>
    <row r="26" spans="1:13" x14ac:dyDescent="0.25">
      <c r="A26" s="19" t="s">
        <v>100</v>
      </c>
      <c r="B26" s="40">
        <f>B23+B25</f>
        <v>32159.961335547985</v>
      </c>
    </row>
    <row r="27" spans="1:13" x14ac:dyDescent="0.25">
      <c r="A27" s="17" t="s">
        <v>101</v>
      </c>
      <c r="B27" s="41">
        <f>'Cost of Capital'!B15</f>
        <v>10513.159214136676</v>
      </c>
    </row>
    <row r="28" spans="1:13" x14ac:dyDescent="0.25">
      <c r="A28" s="19" t="s">
        <v>102</v>
      </c>
      <c r="B28" s="40">
        <f>Input!B9</f>
        <v>800</v>
      </c>
    </row>
    <row r="29" spans="1:13" x14ac:dyDescent="0.25">
      <c r="A29" s="17" t="s">
        <v>115</v>
      </c>
      <c r="B29" s="41">
        <f>Input!B32-Input!B33</f>
        <v>-3000</v>
      </c>
    </row>
    <row r="30" spans="1:13" x14ac:dyDescent="0.25">
      <c r="A30" s="81" t="s">
        <v>116</v>
      </c>
      <c r="B30" s="40">
        <f>B29*(1-Input!B13)*IF(B29&lt;0,1,1-Input!B45)</f>
        <v>-2250</v>
      </c>
    </row>
    <row r="31" spans="1:13" x14ac:dyDescent="0.25">
      <c r="A31" s="17" t="s">
        <v>103</v>
      </c>
      <c r="B31" s="41">
        <f>B26-B27+B28+B30</f>
        <v>20196.802121411311</v>
      </c>
    </row>
    <row r="32" spans="1:13" x14ac:dyDescent="0.25">
      <c r="A32" s="19" t="s">
        <v>104</v>
      </c>
      <c r="B32" s="35">
        <f>Input!B10</f>
        <v>199</v>
      </c>
    </row>
    <row r="33" spans="1:12" x14ac:dyDescent="0.25">
      <c r="A33" s="17" t="s">
        <v>105</v>
      </c>
      <c r="B33" s="82">
        <f>B31/B32</f>
        <v>101.49146794679051</v>
      </c>
    </row>
    <row r="34" spans="1:12" x14ac:dyDescent="0.25">
      <c r="A34" s="19" t="s">
        <v>106</v>
      </c>
      <c r="B34" s="40">
        <f>Input!B11</f>
        <v>100</v>
      </c>
    </row>
    <row r="35" spans="1:12" x14ac:dyDescent="0.25">
      <c r="A35" s="17" t="s">
        <v>107</v>
      </c>
      <c r="B35" s="60">
        <f>B34/B33</f>
        <v>0.98530449921591001</v>
      </c>
    </row>
    <row r="38" spans="1:12" ht="18.75" customHeight="1" x14ac:dyDescent="0.3">
      <c r="A38" s="45" t="s">
        <v>117</v>
      </c>
    </row>
    <row r="39" spans="1:12" x14ac:dyDescent="0.25">
      <c r="A39" s="21" t="s">
        <v>118</v>
      </c>
      <c r="B39" s="21" t="s">
        <v>70</v>
      </c>
      <c r="C39" s="21" t="s">
        <v>71</v>
      </c>
      <c r="D39" s="21" t="s">
        <v>72</v>
      </c>
      <c r="E39" s="21" t="s">
        <v>73</v>
      </c>
      <c r="F39" s="21" t="s">
        <v>74</v>
      </c>
      <c r="G39" s="21" t="s">
        <v>75</v>
      </c>
      <c r="H39" s="21" t="s">
        <v>76</v>
      </c>
      <c r="I39" s="21" t="s">
        <v>77</v>
      </c>
      <c r="J39" s="21" t="s">
        <v>78</v>
      </c>
      <c r="K39" s="21" t="s">
        <v>79</v>
      </c>
      <c r="L39" s="21" t="s">
        <v>80</v>
      </c>
    </row>
    <row r="40" spans="1:12" x14ac:dyDescent="0.25">
      <c r="A40" s="17" t="s">
        <v>119</v>
      </c>
      <c r="B40" s="61"/>
      <c r="C40" s="62">
        <f t="shared" ref="C40:L40" si="12">B45</f>
        <v>7000</v>
      </c>
      <c r="D40" s="62">
        <f t="shared" si="12"/>
        <v>7276.8018628277332</v>
      </c>
      <c r="E40" s="62">
        <f t="shared" si="12"/>
        <v>7542.0240373577035</v>
      </c>
      <c r="F40" s="62">
        <f t="shared" si="12"/>
        <v>7794.9910710500462</v>
      </c>
      <c r="G40" s="62">
        <f t="shared" si="12"/>
        <v>8034.97382754509</v>
      </c>
      <c r="H40" s="62">
        <f t="shared" si="12"/>
        <v>8261.1867370737855</v>
      </c>
      <c r="I40" s="62">
        <f t="shared" si="12"/>
        <v>8472.7848958773138</v>
      </c>
      <c r="J40" s="62">
        <f t="shared" si="12"/>
        <v>8668.8610071485164</v>
      </c>
      <c r="K40" s="62">
        <f t="shared" si="12"/>
        <v>8848.4421556298203</v>
      </c>
      <c r="L40" s="62">
        <f t="shared" si="12"/>
        <v>9010.4864076055637</v>
      </c>
    </row>
    <row r="41" spans="1:12" x14ac:dyDescent="0.25">
      <c r="A41" s="19" t="s">
        <v>120</v>
      </c>
      <c r="B41" s="63"/>
      <c r="C41" s="64">
        <f>C40*'Cost of Capital'!$C$10</f>
        <v>481.77499999999998</v>
      </c>
      <c r="D41" s="64">
        <f>D40*'Cost of Capital'!$C$10</f>
        <v>500.82588820911872</v>
      </c>
      <c r="E41" s="64">
        <f>E40*'Cost of Capital'!$C$10</f>
        <v>519.07980437114395</v>
      </c>
      <c r="F41" s="64">
        <f>F40*'Cost of Capital'!$C$10</f>
        <v>536.49026046501945</v>
      </c>
      <c r="G41" s="64">
        <f>G40*'Cost of Capital'!$C$10</f>
        <v>553.00707368079077</v>
      </c>
      <c r="H41" s="64">
        <f>H40*'Cost of Capital'!$C$10</f>
        <v>568.5761771791033</v>
      </c>
      <c r="I41" s="64">
        <f>I40*'Cost of Capital'!$C$10</f>
        <v>583.13942045875615</v>
      </c>
      <c r="J41" s="64">
        <f>J40*'Cost of Capital'!$C$10</f>
        <v>596.63435881699661</v>
      </c>
      <c r="K41" s="64">
        <f>K40*'Cost of Capital'!$C$10</f>
        <v>608.99403136122237</v>
      </c>
      <c r="L41" s="64">
        <f>L40*'Cost of Capital'!$C$10</f>
        <v>620.14672700345295</v>
      </c>
    </row>
    <row r="42" spans="1:12" x14ac:dyDescent="0.25">
      <c r="A42" s="17" t="s">
        <v>121</v>
      </c>
      <c r="B42" s="61"/>
      <c r="C42" s="62">
        <f>Input!$B$36*(1+Input!$B$37)^(C39)+IF(B45&gt;B50,0,(B50-B45)*Input!$B$38)</f>
        <v>495.02686282773311</v>
      </c>
      <c r="D42" s="62">
        <f>Input!$B$36*(1+Input!$B$37)^(D39)+IF(C45&gt;C50,0,(C50-C45)*Input!$B$38)</f>
        <v>483.30628632085018</v>
      </c>
      <c r="E42" s="62">
        <f>Input!$B$36*(1+Input!$B$37)^(E39)+IF(D45&gt;D50,0,(D50-D45)*Input!$B$38)</f>
        <v>472.1731643211981</v>
      </c>
      <c r="F42" s="62">
        <f>Input!$B$36*(1+Input!$B$37)^(F39)+IF(E45&gt;E50,0,(E50-E45)*Input!$B$38)</f>
        <v>461.62936287752336</v>
      </c>
      <c r="G42" s="62">
        <f>Input!$B$36*(1+Input!$B$37)^(G39)+IF(F45&gt;F50,0,(F50-F45)*Input!$B$38)</f>
        <v>451.67772665750988</v>
      </c>
      <c r="H42" s="62">
        <f>Input!$B$36*(1+Input!$B$37)^(H39)+IF(G45&gt;G50,0,(G50-G45)*Input!$B$38)</f>
        <v>442.32210663589257</v>
      </c>
      <c r="I42" s="62">
        <f>Input!$B$36*(1+Input!$B$37)^(I39)+IF(H45&gt;H50,0,(H50-H45)*Input!$B$38)</f>
        <v>433.56738980950098</v>
      </c>
      <c r="J42" s="62">
        <f>Input!$B$36*(1+Input!$B$37)^(J39)+IF(I45&gt;I50,0,(I50-I45)*Input!$B$38)</f>
        <v>425.41953102292189</v>
      </c>
      <c r="K42" s="62">
        <f>Input!$B$36*(1+Input!$B$37)^(K39)+IF(J45&gt;J50,0,(J50-J45)*Input!$B$38)</f>
        <v>417.88558699303837</v>
      </c>
      <c r="L42" s="62">
        <f>Input!$B$36*(1+Input!$B$37)^(L39)+IF(K45&gt;K50,0,(K50-K45)*Input!$B$38)</f>
        <v>410.97375262551827</v>
      </c>
    </row>
    <row r="43" spans="1:12" x14ac:dyDescent="0.25">
      <c r="A43" s="19" t="s">
        <v>122</v>
      </c>
      <c r="B43" s="63"/>
      <c r="C43" s="64">
        <f>Input!$B$39*(1+Input!$B$40)^('Valuation with Pension'!C39-1)</f>
        <v>600</v>
      </c>
      <c r="D43" s="64">
        <f>Input!$B$39*(1+Input!$B$40)^('Valuation with Pension'!D39-1)</f>
        <v>618</v>
      </c>
      <c r="E43" s="64">
        <f>Input!$B$39*(1+Input!$B$40)^('Valuation with Pension'!E39-1)</f>
        <v>636.54</v>
      </c>
      <c r="F43" s="64">
        <f>Input!$B$39*(1+Input!$B$40)^('Valuation with Pension'!F39-1)</f>
        <v>655.63620000000003</v>
      </c>
      <c r="G43" s="64">
        <f>Input!$B$39*(1+Input!$B$40)^('Valuation with Pension'!G39-1)</f>
        <v>675.30528599999991</v>
      </c>
      <c r="H43" s="64">
        <f>Input!$B$39*(1+Input!$B$40)^('Valuation with Pension'!H39-1)</f>
        <v>695.56444457999987</v>
      </c>
      <c r="I43" s="64">
        <f>Input!$B$39*(1+Input!$B$40)^('Valuation with Pension'!I39-1)</f>
        <v>716.43137791739991</v>
      </c>
      <c r="J43" s="64">
        <f>Input!$B$39*(1+Input!$B$40)^('Valuation with Pension'!J39-1)</f>
        <v>737.92431925492201</v>
      </c>
      <c r="K43" s="64">
        <f>Input!$B$39*(1+Input!$B$40)^('Valuation with Pension'!K39-1)</f>
        <v>760.06204883256953</v>
      </c>
      <c r="L43" s="64">
        <f>Input!$B$39*(1+Input!$B$40)^('Valuation with Pension'!L39-1)</f>
        <v>782.86391029754668</v>
      </c>
    </row>
    <row r="44" spans="1:12" x14ac:dyDescent="0.25">
      <c r="A44" s="17" t="s">
        <v>123</v>
      </c>
      <c r="B44" s="61"/>
      <c r="C44" s="62">
        <f>B50*Input!$B$41</f>
        <v>100</v>
      </c>
      <c r="D44" s="62">
        <f>C50*Input!$B$41</f>
        <v>100.91</v>
      </c>
      <c r="E44" s="62">
        <f>D50*Input!$B$41</f>
        <v>101.74593500000002</v>
      </c>
      <c r="F44" s="62">
        <f>E50*Input!$B$41</f>
        <v>102.50066684750004</v>
      </c>
      <c r="G44" s="62">
        <f>F50*Input!$B$41</f>
        <v>103.16660480960378</v>
      </c>
      <c r="H44" s="62">
        <f>G50*Input!$B$41</f>
        <v>103.73568043146956</v>
      </c>
      <c r="I44" s="62">
        <f>H50*Input!$B$41</f>
        <v>104.19932107965383</v>
      </c>
      <c r="J44" s="62">
        <f>I50*Input!$B$41</f>
        <v>104.54842210369276</v>
      </c>
      <c r="K44" s="62">
        <f>J50*Input!$B$41</f>
        <v>104.77331754594786</v>
      </c>
      <c r="L44" s="62">
        <f>K50*Input!$B$41</f>
        <v>104.86374932625914</v>
      </c>
    </row>
    <row r="45" spans="1:12" ht="15.75" customHeight="1" thickBot="1" x14ac:dyDescent="0.3">
      <c r="A45" s="86" t="s">
        <v>124</v>
      </c>
      <c r="B45" s="87">
        <f>Input!B32</f>
        <v>7000</v>
      </c>
      <c r="C45" s="88">
        <f t="shared" ref="C45:L45" si="13">C40+C42+C41-C43-C44</f>
        <v>7276.8018628277332</v>
      </c>
      <c r="D45" s="88">
        <f t="shared" si="13"/>
        <v>7542.0240373577035</v>
      </c>
      <c r="E45" s="88">
        <f t="shared" si="13"/>
        <v>7794.9910710500462</v>
      </c>
      <c r="F45" s="88">
        <f t="shared" si="13"/>
        <v>8034.97382754509</v>
      </c>
      <c r="G45" s="88">
        <f t="shared" si="13"/>
        <v>8261.1867370737855</v>
      </c>
      <c r="H45" s="88">
        <f t="shared" si="13"/>
        <v>8472.7848958773138</v>
      </c>
      <c r="I45" s="88">
        <f t="shared" si="13"/>
        <v>8668.8610071485164</v>
      </c>
      <c r="J45" s="88">
        <f t="shared" si="13"/>
        <v>8848.4421556298203</v>
      </c>
      <c r="K45" s="88">
        <f t="shared" si="13"/>
        <v>9010.4864076055637</v>
      </c>
      <c r="L45" s="88">
        <f t="shared" si="13"/>
        <v>9153.8792276107288</v>
      </c>
    </row>
    <row r="46" spans="1:12" x14ac:dyDescent="0.25">
      <c r="A46" s="83" t="s">
        <v>125</v>
      </c>
      <c r="B46" s="84"/>
      <c r="C46" s="85">
        <f t="shared" ref="C46:L46" si="14">B50</f>
        <v>10000</v>
      </c>
      <c r="D46" s="85">
        <f t="shared" si="14"/>
        <v>10091</v>
      </c>
      <c r="E46" s="85">
        <f t="shared" si="14"/>
        <v>10174.593500000001</v>
      </c>
      <c r="F46" s="85">
        <f t="shared" si="14"/>
        <v>10250.066684750003</v>
      </c>
      <c r="G46" s="85">
        <f t="shared" si="14"/>
        <v>10316.660480960378</v>
      </c>
      <c r="H46" s="85">
        <f t="shared" si="14"/>
        <v>10373.568043146955</v>
      </c>
      <c r="I46" s="85">
        <f t="shared" si="14"/>
        <v>10419.932107965382</v>
      </c>
      <c r="J46" s="85">
        <f t="shared" si="14"/>
        <v>10454.842210369276</v>
      </c>
      <c r="K46" s="85">
        <f t="shared" si="14"/>
        <v>10477.331754594787</v>
      </c>
      <c r="L46" s="85">
        <f t="shared" si="14"/>
        <v>10486.374932625913</v>
      </c>
    </row>
    <row r="47" spans="1:12" x14ac:dyDescent="0.25">
      <c r="A47" s="19" t="s">
        <v>126</v>
      </c>
      <c r="B47" s="63"/>
      <c r="C47" s="64">
        <f>C46*'Cost of Capital'!$C$9</f>
        <v>485</v>
      </c>
      <c r="D47" s="64">
        <f>D46*'Cost of Capital'!$C$9</f>
        <v>489.4135</v>
      </c>
      <c r="E47" s="64">
        <f>E46*'Cost of Capital'!$C$9</f>
        <v>493.46778475000008</v>
      </c>
      <c r="F47" s="64">
        <f>F46*'Cost of Capital'!$C$9</f>
        <v>497.12823421037518</v>
      </c>
      <c r="G47" s="64">
        <f>G46*'Cost of Capital'!$C$9</f>
        <v>500.35803332657832</v>
      </c>
      <c r="H47" s="64">
        <f>H46*'Cost of Capital'!$C$9</f>
        <v>503.11805009262736</v>
      </c>
      <c r="I47" s="64">
        <f>I46*'Cost of Capital'!$C$9</f>
        <v>505.36670723632102</v>
      </c>
      <c r="J47" s="64">
        <f>J46*'Cost of Capital'!$C$9</f>
        <v>507.05984720290991</v>
      </c>
      <c r="K47" s="64">
        <f>K46*'Cost of Capital'!$C$9</f>
        <v>508.15059009784716</v>
      </c>
      <c r="L47" s="64">
        <f>L46*'Cost of Capital'!$C$9</f>
        <v>508.58918423235679</v>
      </c>
    </row>
    <row r="48" spans="1:12" x14ac:dyDescent="0.25">
      <c r="A48" s="17" t="s">
        <v>127</v>
      </c>
      <c r="B48" s="61"/>
      <c r="C48" s="62">
        <f>Input!$B$34*(1+Input!$B$37)^'Valuation with Pension'!C39</f>
        <v>206</v>
      </c>
      <c r="D48" s="62">
        <f>Input!$B$34*(1+Input!$B$37)^'Valuation with Pension'!D39</f>
        <v>212.17999999999998</v>
      </c>
      <c r="E48" s="62">
        <f>Input!$B$34*(1+Input!$B$37)^'Valuation with Pension'!E39</f>
        <v>218.5454</v>
      </c>
      <c r="F48" s="62">
        <f>Input!$B$34*(1+Input!$B$37)^'Valuation with Pension'!F39</f>
        <v>225.10176199999998</v>
      </c>
      <c r="G48" s="62">
        <f>Input!$B$34*(1+Input!$B$37)^'Valuation with Pension'!G39</f>
        <v>231.85481485999998</v>
      </c>
      <c r="H48" s="62">
        <f>Input!$B$34*(1+Input!$B$37)^'Valuation with Pension'!H39</f>
        <v>238.81045930579998</v>
      </c>
      <c r="I48" s="62">
        <f>Input!$B$34*(1+Input!$B$37)^'Valuation with Pension'!I39</f>
        <v>245.974773084974</v>
      </c>
      <c r="J48" s="62">
        <f>Input!$B$34*(1+Input!$B$37)^'Valuation with Pension'!J39</f>
        <v>253.35401627752319</v>
      </c>
      <c r="K48" s="62">
        <f>Input!$B$34*(1+Input!$B$37)^'Valuation with Pension'!K39</f>
        <v>260.95463676584887</v>
      </c>
      <c r="L48" s="62">
        <f>Input!$B$34*(1+Input!$B$37)^'Valuation with Pension'!L39</f>
        <v>268.78327586882438</v>
      </c>
    </row>
    <row r="49" spans="1:12" x14ac:dyDescent="0.25">
      <c r="A49" s="19" t="s">
        <v>122</v>
      </c>
      <c r="B49" s="63"/>
      <c r="C49" s="64">
        <f t="shared" ref="C49:L49" si="15">C43</f>
        <v>600</v>
      </c>
      <c r="D49" s="64">
        <f t="shared" si="15"/>
        <v>618</v>
      </c>
      <c r="E49" s="64">
        <f t="shared" si="15"/>
        <v>636.54</v>
      </c>
      <c r="F49" s="64">
        <f t="shared" si="15"/>
        <v>655.63620000000003</v>
      </c>
      <c r="G49" s="64">
        <f t="shared" si="15"/>
        <v>675.30528599999991</v>
      </c>
      <c r="H49" s="64">
        <f t="shared" si="15"/>
        <v>695.56444457999987</v>
      </c>
      <c r="I49" s="64">
        <f t="shared" si="15"/>
        <v>716.43137791739991</v>
      </c>
      <c r="J49" s="64">
        <f t="shared" si="15"/>
        <v>737.92431925492201</v>
      </c>
      <c r="K49" s="64">
        <f t="shared" si="15"/>
        <v>760.06204883256953</v>
      </c>
      <c r="L49" s="64">
        <f t="shared" si="15"/>
        <v>782.86391029754668</v>
      </c>
    </row>
    <row r="50" spans="1:12" ht="15.75" customHeight="1" thickBot="1" x14ac:dyDescent="0.3">
      <c r="A50" s="89" t="s">
        <v>128</v>
      </c>
      <c r="B50" s="90">
        <f>Input!B33</f>
        <v>10000</v>
      </c>
      <c r="C50" s="91">
        <f t="shared" ref="C50:L50" si="16">C46+C47+C48-C49</f>
        <v>10091</v>
      </c>
      <c r="D50" s="91">
        <f t="shared" si="16"/>
        <v>10174.593500000001</v>
      </c>
      <c r="E50" s="91">
        <f t="shared" si="16"/>
        <v>10250.066684750003</v>
      </c>
      <c r="F50" s="91">
        <f t="shared" si="16"/>
        <v>10316.660480960378</v>
      </c>
      <c r="G50" s="91">
        <f t="shared" si="16"/>
        <v>10373.568043146955</v>
      </c>
      <c r="H50" s="91">
        <f t="shared" si="16"/>
        <v>10419.932107965382</v>
      </c>
      <c r="I50" s="91">
        <f t="shared" si="16"/>
        <v>10454.842210369276</v>
      </c>
      <c r="J50" s="91">
        <f t="shared" si="16"/>
        <v>10477.331754594787</v>
      </c>
      <c r="K50" s="91">
        <f t="shared" si="16"/>
        <v>10486.374932625913</v>
      </c>
      <c r="L50" s="91">
        <f t="shared" si="16"/>
        <v>10480.883482429546</v>
      </c>
    </row>
    <row r="51" spans="1:12" x14ac:dyDescent="0.25">
      <c r="A51" s="92" t="s">
        <v>129</v>
      </c>
      <c r="B51" s="93">
        <f t="shared" ref="B51:L51" si="17">B45-B50</f>
        <v>-3000</v>
      </c>
      <c r="C51" s="93">
        <f t="shared" si="17"/>
        <v>-2814.1981371722668</v>
      </c>
      <c r="D51" s="93">
        <f t="shared" si="17"/>
        <v>-2632.5694626422974</v>
      </c>
      <c r="E51" s="93">
        <f t="shared" si="17"/>
        <v>-2455.0756136999571</v>
      </c>
      <c r="F51" s="93">
        <f t="shared" si="17"/>
        <v>-2281.6866534152878</v>
      </c>
      <c r="G51" s="93">
        <f t="shared" si="17"/>
        <v>-2112.38130607317</v>
      </c>
      <c r="H51" s="93">
        <f t="shared" si="17"/>
        <v>-1947.147212088068</v>
      </c>
      <c r="I51" s="93">
        <f t="shared" si="17"/>
        <v>-1785.9812032207592</v>
      </c>
      <c r="J51" s="93">
        <f t="shared" si="17"/>
        <v>-1628.8895989649664</v>
      </c>
      <c r="K51" s="93">
        <f t="shared" si="17"/>
        <v>-1475.8885250203493</v>
      </c>
      <c r="L51" s="93">
        <f t="shared" si="17"/>
        <v>-1327.0042548188176</v>
      </c>
    </row>
  </sheetData>
  <pageMargins left="0.7" right="0.7" top="0.75" bottom="0.75" header="0.3" footer="0.3"/>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workbookViewId="0"/>
  </sheetViews>
  <sheetFormatPr defaultRowHeight="15" x14ac:dyDescent="0.25"/>
  <cols>
    <col min="1" max="1" width="39.625" customWidth="1"/>
    <col min="2" max="2" width="12.625" customWidth="1"/>
    <col min="3" max="3" width="15.625" customWidth="1"/>
    <col min="4" max="12" width="10.75" customWidth="1"/>
    <col min="13" max="13" width="15.625" customWidth="1"/>
  </cols>
  <sheetData>
    <row r="1" spans="1:2" ht="21" customHeight="1" x14ac:dyDescent="0.35">
      <c r="A1" s="46" t="s">
        <v>130</v>
      </c>
    </row>
    <row r="2" spans="1:2" x14ac:dyDescent="0.25">
      <c r="A2" s="1"/>
    </row>
    <row r="3" spans="1:2" x14ac:dyDescent="0.25">
      <c r="A3" s="1" t="s">
        <v>131</v>
      </c>
    </row>
    <row r="4" spans="1:2" x14ac:dyDescent="0.25">
      <c r="A4" s="1" t="s">
        <v>168</v>
      </c>
    </row>
    <row r="5" spans="1:2" ht="18.75" customHeight="1" x14ac:dyDescent="0.3">
      <c r="A5" s="45" t="s">
        <v>132</v>
      </c>
    </row>
    <row r="6" spans="1:2" x14ac:dyDescent="0.25">
      <c r="A6" s="21" t="s">
        <v>133</v>
      </c>
      <c r="B6" s="44" t="s">
        <v>21</v>
      </c>
    </row>
    <row r="7" spans="1:2" x14ac:dyDescent="0.25">
      <c r="A7" s="17" t="s">
        <v>134</v>
      </c>
      <c r="B7" s="42">
        <f>IF(Input!B50=0,IF(Input!B33*Input!B48*Input!B49&gt;Input!B32*Input!B48,Input!B32*(1-Input!B48),Input!B32-Input!B33*Input!B48*Input!B49), Input!B32-Input!B33*Input!B48*Input!B49)</f>
        <v>3360</v>
      </c>
    </row>
    <row r="8" spans="1:2" x14ac:dyDescent="0.25">
      <c r="A8" s="19" t="s">
        <v>135</v>
      </c>
      <c r="B8" s="34">
        <f>Input!B33*(1-Input!B48)</f>
        <v>6500</v>
      </c>
    </row>
    <row r="9" spans="1:2" x14ac:dyDescent="0.25">
      <c r="A9" s="17" t="s">
        <v>136</v>
      </c>
      <c r="B9" s="42">
        <f>B8*Input!B39/Input!B33</f>
        <v>390</v>
      </c>
    </row>
    <row r="10" spans="1:2" x14ac:dyDescent="0.25">
      <c r="A10" s="19" t="s">
        <v>137</v>
      </c>
      <c r="B10" s="34">
        <f>Input!B33*Input!B48*Input!B49-(Input!B32-'Pension Derisking'!B7)</f>
        <v>0</v>
      </c>
    </row>
    <row r="11" spans="1:2" x14ac:dyDescent="0.25">
      <c r="A11" s="17" t="s">
        <v>65</v>
      </c>
      <c r="B11" s="60">
        <f>IF(Input!B50=1, ,Input!B51)</f>
        <v>0</v>
      </c>
    </row>
    <row r="12" spans="1:2" x14ac:dyDescent="0.25">
      <c r="A12" s="19" t="s">
        <v>66</v>
      </c>
      <c r="B12" s="80">
        <f>IF(Input!B50=1,,Input!B52)</f>
        <v>0</v>
      </c>
    </row>
    <row r="13" spans="1:2" x14ac:dyDescent="0.25">
      <c r="A13" s="17" t="s">
        <v>138</v>
      </c>
      <c r="B13" s="42">
        <f>B10*B11*(1-Input!B13)</f>
        <v>0</v>
      </c>
    </row>
    <row r="14" spans="1:2" x14ac:dyDescent="0.25">
      <c r="A14" s="19" t="s">
        <v>139</v>
      </c>
      <c r="B14" s="34">
        <f>B13/Input!B11</f>
        <v>0</v>
      </c>
    </row>
    <row r="15" spans="1:2" x14ac:dyDescent="0.25">
      <c r="A15" s="17" t="s">
        <v>140</v>
      </c>
      <c r="B15" s="42">
        <f>B10*B12*(1-Input!B13)</f>
        <v>0</v>
      </c>
    </row>
    <row r="16" spans="1:2" x14ac:dyDescent="0.25">
      <c r="A16" s="19" t="s">
        <v>141</v>
      </c>
      <c r="B16" s="40">
        <f>B15*'Cost of Capital'!C8</f>
        <v>0</v>
      </c>
    </row>
    <row r="17" spans="1:13" x14ac:dyDescent="0.25">
      <c r="B17" s="3"/>
    </row>
    <row r="18" spans="1:13" ht="18.75" customHeight="1" x14ac:dyDescent="0.3">
      <c r="A18" s="45" t="s">
        <v>109</v>
      </c>
    </row>
    <row r="19" spans="1:13" ht="16.5" customHeight="1" thickBot="1" x14ac:dyDescent="0.3">
      <c r="A19" s="21" t="s">
        <v>69</v>
      </c>
      <c r="B19" s="21" t="s">
        <v>70</v>
      </c>
      <c r="C19" s="21" t="s">
        <v>71</v>
      </c>
      <c r="D19" s="21" t="s">
        <v>72</v>
      </c>
      <c r="E19" s="21" t="s">
        <v>73</v>
      </c>
      <c r="F19" s="21" t="s">
        <v>74</v>
      </c>
      <c r="G19" s="21" t="s">
        <v>75</v>
      </c>
      <c r="H19" s="21" t="s">
        <v>76</v>
      </c>
      <c r="I19" s="21" t="s">
        <v>77</v>
      </c>
      <c r="J19" s="21" t="s">
        <v>78</v>
      </c>
      <c r="K19" s="21" t="s">
        <v>79</v>
      </c>
      <c r="L19" s="21" t="s">
        <v>80</v>
      </c>
      <c r="M19" s="21" t="s">
        <v>81</v>
      </c>
    </row>
    <row r="20" spans="1:13" x14ac:dyDescent="0.25">
      <c r="A20" s="17" t="s">
        <v>82</v>
      </c>
      <c r="B20" s="61"/>
      <c r="C20" s="67">
        <f>Input!B17</f>
        <v>0.12</v>
      </c>
      <c r="D20" s="67">
        <f>C20</f>
        <v>0.12</v>
      </c>
      <c r="E20" s="67">
        <f>D20</f>
        <v>0.12</v>
      </c>
      <c r="F20" s="67">
        <f>E20</f>
        <v>0.12</v>
      </c>
      <c r="G20" s="67">
        <f>F20</f>
        <v>0.12</v>
      </c>
      <c r="H20" s="68">
        <f>G20-($G$20-$L$20)/Input!$B$21</f>
        <v>0.106</v>
      </c>
      <c r="I20" s="68">
        <f>H20-($G$20-$L$20)/Input!$B$21</f>
        <v>9.1999999999999998E-2</v>
      </c>
      <c r="J20" s="68">
        <f>I20-($G$20-$L$20)/Input!$B$21</f>
        <v>7.8E-2</v>
      </c>
      <c r="K20" s="68">
        <f>J20-($G$20-$L$20)/Input!$B$21</f>
        <v>6.4000000000000001E-2</v>
      </c>
      <c r="L20" s="67">
        <f>Input!B18</f>
        <v>0.05</v>
      </c>
      <c r="M20" s="67">
        <f>L20</f>
        <v>0.05</v>
      </c>
    </row>
    <row r="21" spans="1:13" x14ac:dyDescent="0.25">
      <c r="A21" s="19" t="s">
        <v>83</v>
      </c>
      <c r="B21" s="65">
        <f>Input!B4</f>
        <v>18000</v>
      </c>
      <c r="C21" s="65">
        <f t="shared" ref="C21:M21" si="0">B21*(1+C20)</f>
        <v>20160.000000000004</v>
      </c>
      <c r="D21" s="65">
        <f t="shared" si="0"/>
        <v>22579.200000000008</v>
      </c>
      <c r="E21" s="69">
        <f t="shared" si="0"/>
        <v>25288.704000000012</v>
      </c>
      <c r="F21" s="69">
        <f t="shared" si="0"/>
        <v>28323.348480000015</v>
      </c>
      <c r="G21" s="69">
        <f t="shared" si="0"/>
        <v>31722.150297600019</v>
      </c>
      <c r="H21" s="69">
        <f t="shared" si="0"/>
        <v>35084.698229145622</v>
      </c>
      <c r="I21" s="69">
        <f t="shared" si="0"/>
        <v>38312.49046622702</v>
      </c>
      <c r="J21" s="69">
        <f t="shared" si="0"/>
        <v>41300.864722592727</v>
      </c>
      <c r="K21" s="69">
        <f t="shared" si="0"/>
        <v>43944.120064838666</v>
      </c>
      <c r="L21" s="69">
        <f t="shared" si="0"/>
        <v>46141.326068080598</v>
      </c>
      <c r="M21" s="69">
        <f t="shared" si="0"/>
        <v>48448.392371484631</v>
      </c>
    </row>
    <row r="22" spans="1:13" x14ac:dyDescent="0.25">
      <c r="A22" s="17" t="s">
        <v>110</v>
      </c>
      <c r="B22" s="70">
        <f>Input!B19</f>
        <v>0.11666666666666667</v>
      </c>
      <c r="C22" s="70">
        <f t="shared" ref="C22:K22" si="1">B22+($L$22-$B$22)/10</f>
        <v>0.11800000000000001</v>
      </c>
      <c r="D22" s="70">
        <f t="shared" si="1"/>
        <v>0.11933333333333335</v>
      </c>
      <c r="E22" s="70">
        <f t="shared" si="1"/>
        <v>0.12066666666666669</v>
      </c>
      <c r="F22" s="70">
        <f t="shared" si="1"/>
        <v>0.12200000000000003</v>
      </c>
      <c r="G22" s="70">
        <f t="shared" si="1"/>
        <v>0.12333333333333336</v>
      </c>
      <c r="H22" s="70">
        <f t="shared" si="1"/>
        <v>0.1246666666666667</v>
      </c>
      <c r="I22" s="70">
        <f t="shared" si="1"/>
        <v>0.12600000000000003</v>
      </c>
      <c r="J22" s="70">
        <f t="shared" si="1"/>
        <v>0.12733333333333335</v>
      </c>
      <c r="K22" s="70">
        <f t="shared" si="1"/>
        <v>0.12866666666666668</v>
      </c>
      <c r="L22" s="70">
        <f>Input!B20</f>
        <v>0.13</v>
      </c>
      <c r="M22" s="70">
        <f>Table1416[[#This Row],[10]]</f>
        <v>0.13</v>
      </c>
    </row>
    <row r="23" spans="1:13" x14ac:dyDescent="0.25">
      <c r="A23" s="81" t="s">
        <v>111</v>
      </c>
      <c r="B23" s="64">
        <f>Input!B34</f>
        <v>200</v>
      </c>
      <c r="C23" s="65">
        <f>B23*(1+Input!$B$35)</f>
        <v>206</v>
      </c>
      <c r="D23" s="65">
        <f>C23*(1+Input!$B$35)</f>
        <v>212.18</v>
      </c>
      <c r="E23" s="65">
        <f>D23*(1+Input!$B$35)</f>
        <v>218.5454</v>
      </c>
      <c r="F23" s="65">
        <f>E23*(1+Input!$B$35)</f>
        <v>225.10176200000001</v>
      </c>
      <c r="G23" s="65">
        <f>F23*(1+Input!$B$35)</f>
        <v>231.85481486</v>
      </c>
      <c r="H23" s="65">
        <f>G23*(1+Input!$B$35)</f>
        <v>238.81045930580001</v>
      </c>
      <c r="I23" s="65">
        <f>H23*(1+Input!$B$35)</f>
        <v>245.974773084974</v>
      </c>
      <c r="J23" s="65">
        <f>I23*(1+Input!$B$35)</f>
        <v>253.35401627752324</v>
      </c>
      <c r="K23" s="65">
        <f>J23*(1+Input!$B$35)</f>
        <v>260.95463676584893</v>
      </c>
      <c r="L23" s="65">
        <f>K23*(1+Input!$B$35)</f>
        <v>268.78327586882443</v>
      </c>
      <c r="M23" s="65">
        <f>L23*(1+Input!$B$35)</f>
        <v>276.8467741448892</v>
      </c>
    </row>
    <row r="24" spans="1:13" x14ac:dyDescent="0.25">
      <c r="A24" s="17" t="s">
        <v>112</v>
      </c>
      <c r="B24" s="62">
        <f t="shared" ref="B24:M24" si="2">B21*B22-B23</f>
        <v>1900</v>
      </c>
      <c r="C24" s="62">
        <f t="shared" si="2"/>
        <v>2172.8800000000006</v>
      </c>
      <c r="D24" s="62">
        <f t="shared" si="2"/>
        <v>2482.2712000000015</v>
      </c>
      <c r="E24" s="62">
        <f t="shared" si="2"/>
        <v>2832.9582160000018</v>
      </c>
      <c r="F24" s="62">
        <f t="shared" si="2"/>
        <v>3230.3467525600026</v>
      </c>
      <c r="G24" s="62">
        <f t="shared" si="2"/>
        <v>3680.5437218440034</v>
      </c>
      <c r="H24" s="62">
        <f t="shared" si="2"/>
        <v>4135.0819199276893</v>
      </c>
      <c r="I24" s="62">
        <f t="shared" si="2"/>
        <v>4581.3990256596317</v>
      </c>
      <c r="J24" s="62">
        <f t="shared" si="2"/>
        <v>5005.622758399285</v>
      </c>
      <c r="K24" s="62">
        <f t="shared" si="2"/>
        <v>5393.1888115767269</v>
      </c>
      <c r="L24" s="62">
        <f t="shared" si="2"/>
        <v>5729.5891129816537</v>
      </c>
      <c r="M24" s="62">
        <f t="shared" si="2"/>
        <v>6021.4442341481126</v>
      </c>
    </row>
    <row r="25" spans="1:13" x14ac:dyDescent="0.25">
      <c r="A25" s="19" t="s">
        <v>86</v>
      </c>
      <c r="B25" s="71">
        <f>Input!B12</f>
        <v>0.2</v>
      </c>
      <c r="C25" s="72">
        <f t="shared" ref="C25:K25" si="3">B25+($L$25-$B$25)/10</f>
        <v>0.20500000000000002</v>
      </c>
      <c r="D25" s="72">
        <f t="shared" si="3"/>
        <v>0.21000000000000002</v>
      </c>
      <c r="E25" s="72">
        <f t="shared" si="3"/>
        <v>0.21500000000000002</v>
      </c>
      <c r="F25" s="72">
        <f t="shared" si="3"/>
        <v>0.22000000000000003</v>
      </c>
      <c r="G25" s="72">
        <f t="shared" si="3"/>
        <v>0.22500000000000003</v>
      </c>
      <c r="H25" s="72">
        <f t="shared" si="3"/>
        <v>0.23000000000000004</v>
      </c>
      <c r="I25" s="72">
        <f t="shared" si="3"/>
        <v>0.23500000000000004</v>
      </c>
      <c r="J25" s="72">
        <f t="shared" si="3"/>
        <v>0.24000000000000005</v>
      </c>
      <c r="K25" s="72">
        <f t="shared" si="3"/>
        <v>0.24500000000000005</v>
      </c>
      <c r="L25" s="71">
        <f>Input!B13</f>
        <v>0.25</v>
      </c>
      <c r="M25" s="71">
        <f>L25</f>
        <v>0.25</v>
      </c>
    </row>
    <row r="26" spans="1:13" x14ac:dyDescent="0.25">
      <c r="A26" s="17" t="s">
        <v>113</v>
      </c>
      <c r="B26" s="73">
        <f t="shared" ref="B26:M26" si="4">B24*(1-B25)</f>
        <v>1520</v>
      </c>
      <c r="C26" s="73">
        <f t="shared" si="4"/>
        <v>1727.4396000000004</v>
      </c>
      <c r="D26" s="73">
        <f t="shared" si="4"/>
        <v>1960.9942480000013</v>
      </c>
      <c r="E26" s="73">
        <f t="shared" si="4"/>
        <v>2223.8721995600013</v>
      </c>
      <c r="F26" s="73">
        <f t="shared" si="4"/>
        <v>2519.6704669968021</v>
      </c>
      <c r="G26" s="73">
        <f t="shared" si="4"/>
        <v>2852.4213844291021</v>
      </c>
      <c r="H26" s="73">
        <f t="shared" si="4"/>
        <v>3184.013078344321</v>
      </c>
      <c r="I26" s="73">
        <f t="shared" si="4"/>
        <v>3504.7702546296177</v>
      </c>
      <c r="J26" s="73">
        <f t="shared" si="4"/>
        <v>3804.2732963834565</v>
      </c>
      <c r="K26" s="73">
        <f t="shared" si="4"/>
        <v>4071.8575527404282</v>
      </c>
      <c r="L26" s="73">
        <f t="shared" si="4"/>
        <v>4297.1918347362407</v>
      </c>
      <c r="M26" s="73">
        <f t="shared" si="4"/>
        <v>4516.0831756110847</v>
      </c>
    </row>
    <row r="27" spans="1:13" x14ac:dyDescent="0.25">
      <c r="A27" s="19" t="s">
        <v>39</v>
      </c>
      <c r="B27" s="74"/>
      <c r="C27" s="74">
        <f t="shared" ref="C27:M27" si="5">C21/C28</f>
        <v>1.3</v>
      </c>
      <c r="D27" s="74">
        <f t="shared" si="5"/>
        <v>1.3</v>
      </c>
      <c r="E27" s="74">
        <f t="shared" si="5"/>
        <v>1.3</v>
      </c>
      <c r="F27" s="74">
        <f t="shared" si="5"/>
        <v>1.3</v>
      </c>
      <c r="G27" s="74">
        <f t="shared" si="5"/>
        <v>1.3</v>
      </c>
      <c r="H27" s="74">
        <f t="shared" si="5"/>
        <v>1.3</v>
      </c>
      <c r="I27" s="74">
        <f t="shared" si="5"/>
        <v>1.3</v>
      </c>
      <c r="J27" s="74">
        <f t="shared" si="5"/>
        <v>1.3</v>
      </c>
      <c r="K27" s="74">
        <f t="shared" si="5"/>
        <v>1.3</v>
      </c>
      <c r="L27" s="74">
        <f t="shared" si="5"/>
        <v>1.3</v>
      </c>
      <c r="M27" s="74">
        <f t="shared" si="5"/>
        <v>1.3</v>
      </c>
    </row>
    <row r="28" spans="1:13" x14ac:dyDescent="0.25">
      <c r="A28" s="17" t="s">
        <v>88</v>
      </c>
      <c r="B28" s="66">
        <f>'Valuation with Pension'!B13+$B$10</f>
        <v>13900</v>
      </c>
      <c r="C28" s="66">
        <f>'Valuation with Pension'!C13+$B$10</f>
        <v>15507.69230769231</v>
      </c>
      <c r="D28" s="66">
        <f>'Valuation with Pension'!D13+$B$10</f>
        <v>17368.61538461539</v>
      </c>
      <c r="E28" s="66">
        <f>'Valuation with Pension'!E13+$B$10</f>
        <v>19452.84923076924</v>
      </c>
      <c r="F28" s="66">
        <f>'Valuation with Pension'!F13+$B$10</f>
        <v>21787.191138461549</v>
      </c>
      <c r="G28" s="66">
        <f>'Valuation with Pension'!G13+$B$10</f>
        <v>24401.654075076938</v>
      </c>
      <c r="H28" s="66">
        <f>'Valuation with Pension'!H13+$B$10</f>
        <v>26988.229407035094</v>
      </c>
      <c r="I28" s="66">
        <f>'Valuation with Pension'!I13+$B$10</f>
        <v>29471.146512482323</v>
      </c>
      <c r="J28" s="66">
        <f>'Valuation with Pension'!J13+$B$10</f>
        <v>31769.895940455943</v>
      </c>
      <c r="K28" s="66">
        <f>'Valuation with Pension'!K13+$B$10</f>
        <v>33803.169280645125</v>
      </c>
      <c r="L28" s="66">
        <f>'Valuation with Pension'!L13+$B$10</f>
        <v>35493.327744677379</v>
      </c>
      <c r="M28" s="66">
        <f>'Valuation with Pension'!M13+$B$10</f>
        <v>37267.994131911255</v>
      </c>
    </row>
    <row r="29" spans="1:13" x14ac:dyDescent="0.25">
      <c r="A29" s="19" t="s">
        <v>114</v>
      </c>
      <c r="B29" s="76">
        <f t="shared" ref="B29:M29" si="6">B26/B28</f>
        <v>0.10935251798561151</v>
      </c>
      <c r="C29" s="76">
        <f t="shared" si="6"/>
        <v>0.11139243452380954</v>
      </c>
      <c r="D29" s="76">
        <f t="shared" si="6"/>
        <v>0.11290446616354879</v>
      </c>
      <c r="E29" s="76">
        <f t="shared" si="6"/>
        <v>0.11432115538336801</v>
      </c>
      <c r="F29" s="76">
        <f t="shared" si="6"/>
        <v>0.115649165189943</v>
      </c>
      <c r="G29" s="76">
        <f t="shared" si="6"/>
        <v>0.11689459147535712</v>
      </c>
      <c r="H29" s="76">
        <f t="shared" si="6"/>
        <v>0.11797784250026924</v>
      </c>
      <c r="I29" s="76">
        <f t="shared" si="6"/>
        <v>0.11892208717245506</v>
      </c>
      <c r="J29" s="76">
        <f t="shared" si="6"/>
        <v>0.11974459417536448</v>
      </c>
      <c r="K29" s="76">
        <f t="shared" si="6"/>
        <v>0.12045786354925823</v>
      </c>
      <c r="L29" s="76">
        <f t="shared" si="6"/>
        <v>0.12107041260397604</v>
      </c>
      <c r="M29" s="76">
        <f t="shared" si="6"/>
        <v>0.12117859522104313</v>
      </c>
    </row>
    <row r="30" spans="1:13" x14ac:dyDescent="0.25">
      <c r="A30" s="17" t="s">
        <v>90</v>
      </c>
      <c r="B30" s="61"/>
      <c r="C30" s="66">
        <f t="shared" ref="C30:M30" si="7">C28-B28</f>
        <v>1607.6923076923104</v>
      </c>
      <c r="D30" s="66">
        <f t="shared" si="7"/>
        <v>1860.9230769230799</v>
      </c>
      <c r="E30" s="66">
        <f t="shared" si="7"/>
        <v>2084.2338461538493</v>
      </c>
      <c r="F30" s="66">
        <f t="shared" si="7"/>
        <v>2334.3419076923092</v>
      </c>
      <c r="G30" s="66">
        <f t="shared" si="7"/>
        <v>2614.4629366153895</v>
      </c>
      <c r="H30" s="66">
        <f t="shared" si="7"/>
        <v>2586.5753319581563</v>
      </c>
      <c r="I30" s="66">
        <f t="shared" si="7"/>
        <v>2482.9171054472281</v>
      </c>
      <c r="J30" s="66">
        <f t="shared" si="7"/>
        <v>2298.7494279736202</v>
      </c>
      <c r="K30" s="66">
        <f t="shared" si="7"/>
        <v>2033.2733401891819</v>
      </c>
      <c r="L30" s="66">
        <f t="shared" si="7"/>
        <v>1690.1584640322544</v>
      </c>
      <c r="M30" s="66">
        <f t="shared" si="7"/>
        <v>1774.6663872338759</v>
      </c>
    </row>
    <row r="31" spans="1:13" x14ac:dyDescent="0.25">
      <c r="A31" s="19" t="s">
        <v>91</v>
      </c>
      <c r="B31" s="63"/>
      <c r="C31" s="77">
        <f t="shared" ref="C31:M31" si="8">C26-C30</f>
        <v>119.74729230769003</v>
      </c>
      <c r="D31" s="77">
        <f t="shared" si="8"/>
        <v>100.07117107692147</v>
      </c>
      <c r="E31" s="77">
        <f t="shared" si="8"/>
        <v>139.63835340615196</v>
      </c>
      <c r="F31" s="77">
        <f t="shared" si="8"/>
        <v>185.32855930449296</v>
      </c>
      <c r="G31" s="77">
        <f t="shared" si="8"/>
        <v>237.95844781371261</v>
      </c>
      <c r="H31" s="77">
        <f t="shared" si="8"/>
        <v>597.43774638616469</v>
      </c>
      <c r="I31" s="77">
        <f t="shared" si="8"/>
        <v>1021.8531491823896</v>
      </c>
      <c r="J31" s="77">
        <f t="shared" si="8"/>
        <v>1505.5238684098363</v>
      </c>
      <c r="K31" s="77">
        <f t="shared" si="8"/>
        <v>2038.5842125512463</v>
      </c>
      <c r="L31" s="77">
        <f t="shared" si="8"/>
        <v>2607.0333707039863</v>
      </c>
      <c r="M31" s="77">
        <f t="shared" si="8"/>
        <v>2741.4167883772088</v>
      </c>
    </row>
    <row r="32" spans="1:13" x14ac:dyDescent="0.25">
      <c r="A32" s="17" t="s">
        <v>92</v>
      </c>
      <c r="B32" s="61"/>
      <c r="C32" s="70">
        <f>'Cost of Capital'!B36</f>
        <v>9.1109880489825809E-2</v>
      </c>
      <c r="D32" s="70">
        <f>Table1416[[#This Row],[1]]</f>
        <v>9.1109880489825809E-2</v>
      </c>
      <c r="E32" s="70">
        <f>Table1416[[#This Row],[2]]</f>
        <v>9.1109880489825809E-2</v>
      </c>
      <c r="F32" s="70">
        <f>Table1416[[#This Row],[3]]</f>
        <v>9.1109880489825809E-2</v>
      </c>
      <c r="G32" s="70">
        <f>Table1416[[#This Row],[4]]</f>
        <v>9.1109880489825809E-2</v>
      </c>
      <c r="H32" s="70">
        <f>Table1416[[#This Row],[5]]</f>
        <v>9.1109880489825809E-2</v>
      </c>
      <c r="I32" s="70">
        <f>Table1416[[#This Row],[6]]</f>
        <v>9.1109880489825809E-2</v>
      </c>
      <c r="J32" s="70">
        <f>Table1416[[#This Row],[7]]</f>
        <v>9.1109880489825809E-2</v>
      </c>
      <c r="K32" s="70">
        <f>Table1416[[#This Row],[8]]</f>
        <v>9.1109880489825809E-2</v>
      </c>
      <c r="L32" s="70">
        <f>Table1416[[#This Row],[9]]</f>
        <v>9.1109880489825809E-2</v>
      </c>
      <c r="M32" s="70">
        <f>Table1416[[#This Row],[10]]</f>
        <v>9.1109880489825809E-2</v>
      </c>
    </row>
    <row r="33" spans="1:13" x14ac:dyDescent="0.25">
      <c r="A33" s="19" t="s">
        <v>93</v>
      </c>
      <c r="B33" s="63"/>
      <c r="C33" s="78">
        <f>1/(1+C32)</f>
        <v>0.91649797869218785</v>
      </c>
      <c r="D33" s="78">
        <f t="shared" ref="D33:L33" si="9">C33/(1+D32)</f>
        <v>0.83996854494686601</v>
      </c>
      <c r="E33" s="78">
        <f t="shared" si="9"/>
        <v>0.76982947360882081</v>
      </c>
      <c r="F33" s="78">
        <f t="shared" si="9"/>
        <v>0.7055471565001552</v>
      </c>
      <c r="G33" s="78">
        <f t="shared" si="9"/>
        <v>0.64663254280441296</v>
      </c>
      <c r="H33" s="78">
        <f t="shared" si="9"/>
        <v>0.59263741843683415</v>
      </c>
      <c r="I33" s="78">
        <f t="shared" si="9"/>
        <v>0.54315099609471484</v>
      </c>
      <c r="J33" s="78">
        <f t="shared" si="9"/>
        <v>0.49779679004545457</v>
      </c>
      <c r="K33" s="78">
        <f t="shared" si="9"/>
        <v>0.45622975187611853</v>
      </c>
      <c r="L33" s="78">
        <f t="shared" si="9"/>
        <v>0.41813364541370102</v>
      </c>
      <c r="M33" s="63"/>
    </row>
    <row r="34" spans="1:13" x14ac:dyDescent="0.25">
      <c r="A34" s="17" t="s">
        <v>94</v>
      </c>
      <c r="B34" s="61"/>
      <c r="C34" s="79">
        <f t="shared" ref="C34:L34" si="10">C31*C33</f>
        <v>109.74815135386049</v>
      </c>
      <c r="D34" s="79">
        <f t="shared" si="10"/>
        <v>84.056635960610635</v>
      </c>
      <c r="E34" s="79">
        <f t="shared" si="10"/>
        <v>107.49772009826046</v>
      </c>
      <c r="F34" s="79">
        <f t="shared" si="10"/>
        <v>130.75803803555539</v>
      </c>
      <c r="G34" s="79">
        <f t="shared" si="10"/>
        <v>153.87167619157219</v>
      </c>
      <c r="H34" s="79">
        <f t="shared" si="10"/>
        <v>354.0639636950167</v>
      </c>
      <c r="I34" s="79">
        <f t="shared" si="10"/>
        <v>555.02055584093614</v>
      </c>
      <c r="J34" s="79">
        <f t="shared" si="10"/>
        <v>749.44494903123189</v>
      </c>
      <c r="K34" s="79">
        <f t="shared" si="10"/>
        <v>930.06276947082756</v>
      </c>
      <c r="L34" s="79">
        <f t="shared" si="10"/>
        <v>1090.0883670076264</v>
      </c>
      <c r="M34" s="61"/>
    </row>
    <row r="36" spans="1:13" ht="18.75" customHeight="1" x14ac:dyDescent="0.3">
      <c r="A36" s="45" t="s">
        <v>95</v>
      </c>
    </row>
    <row r="37" spans="1:13" x14ac:dyDescent="0.25">
      <c r="A37" s="21" t="s">
        <v>21</v>
      </c>
      <c r="B37" s="21" t="s">
        <v>96</v>
      </c>
    </row>
    <row r="38" spans="1:13" x14ac:dyDescent="0.25">
      <c r="A38" s="17" t="s">
        <v>97</v>
      </c>
      <c r="B38" s="41">
        <f>SUM(C34:L34)</f>
        <v>4264.6128266854976</v>
      </c>
    </row>
    <row r="39" spans="1:13" x14ac:dyDescent="0.25">
      <c r="A39" s="19" t="s">
        <v>98</v>
      </c>
      <c r="B39" s="40">
        <f>M31/(M32-M20)</f>
        <v>66685.107222719264</v>
      </c>
    </row>
    <row r="40" spans="1:13" x14ac:dyDescent="0.25">
      <c r="A40" s="17" t="s">
        <v>99</v>
      </c>
      <c r="B40" s="41">
        <f>B39*L33</f>
        <v>27883.286977839129</v>
      </c>
    </row>
    <row r="41" spans="1:13" x14ac:dyDescent="0.25">
      <c r="A41" s="19" t="s">
        <v>100</v>
      </c>
      <c r="B41" s="40">
        <f>B38+B40</f>
        <v>32147.899804524626</v>
      </c>
    </row>
    <row r="42" spans="1:13" x14ac:dyDescent="0.25">
      <c r="A42" s="17" t="s">
        <v>101</v>
      </c>
      <c r="B42" s="41">
        <f>'Cost of Capital'!C15</f>
        <v>10513.159214136676</v>
      </c>
    </row>
    <row r="43" spans="1:13" x14ac:dyDescent="0.25">
      <c r="A43" s="19" t="s">
        <v>102</v>
      </c>
      <c r="B43" s="40">
        <f>Input!B9</f>
        <v>800</v>
      </c>
    </row>
    <row r="44" spans="1:13" x14ac:dyDescent="0.25">
      <c r="A44" s="17" t="s">
        <v>115</v>
      </c>
      <c r="B44" s="41">
        <f>B7-B8</f>
        <v>-3140</v>
      </c>
    </row>
    <row r="45" spans="1:13" x14ac:dyDescent="0.25">
      <c r="A45" s="81" t="s">
        <v>116</v>
      </c>
      <c r="B45" s="40">
        <f>B44*(1-Input!B13)*IF(B44&lt;0,1,1-Input!B45)</f>
        <v>-2355</v>
      </c>
    </row>
    <row r="46" spans="1:13" x14ac:dyDescent="0.25">
      <c r="A46" s="17" t="s">
        <v>103</v>
      </c>
      <c r="B46" s="41">
        <f>B41-B42+B43+B45</f>
        <v>20079.740590387948</v>
      </c>
    </row>
    <row r="47" spans="1:13" x14ac:dyDescent="0.25">
      <c r="A47" s="19" t="s">
        <v>104</v>
      </c>
      <c r="B47" s="35">
        <f>Input!B10+B14</f>
        <v>199</v>
      </c>
    </row>
    <row r="48" spans="1:13" x14ac:dyDescent="0.25">
      <c r="A48" s="17" t="s">
        <v>105</v>
      </c>
      <c r="B48" s="41">
        <f>B46/B47</f>
        <v>100.90321904717563</v>
      </c>
    </row>
    <row r="49" spans="1:12" x14ac:dyDescent="0.25">
      <c r="A49" s="19" t="s">
        <v>106</v>
      </c>
      <c r="B49" s="40">
        <f>Input!B11</f>
        <v>100</v>
      </c>
    </row>
    <row r="50" spans="1:12" x14ac:dyDescent="0.25">
      <c r="A50" s="17" t="s">
        <v>107</v>
      </c>
      <c r="B50" s="60">
        <f>B49/B48</f>
        <v>0.99104865973846346</v>
      </c>
    </row>
    <row r="53" spans="1:12" ht="18.75" customHeight="1" x14ac:dyDescent="0.3">
      <c r="A53" s="45" t="s">
        <v>117</v>
      </c>
    </row>
    <row r="54" spans="1:12" x14ac:dyDescent="0.25">
      <c r="A54" s="21" t="s">
        <v>118</v>
      </c>
      <c r="B54" s="21" t="s">
        <v>70</v>
      </c>
      <c r="C54" s="21" t="s">
        <v>71</v>
      </c>
      <c r="D54" s="21" t="s">
        <v>72</v>
      </c>
      <c r="E54" s="21" t="s">
        <v>73</v>
      </c>
      <c r="F54" s="21" t="s">
        <v>74</v>
      </c>
      <c r="G54" s="21" t="s">
        <v>75</v>
      </c>
      <c r="H54" s="21" t="s">
        <v>76</v>
      </c>
      <c r="I54" s="21" t="s">
        <v>77</v>
      </c>
      <c r="J54" s="21" t="s">
        <v>78</v>
      </c>
      <c r="K54" s="21" t="s">
        <v>79</v>
      </c>
      <c r="L54" s="21" t="s">
        <v>80</v>
      </c>
    </row>
    <row r="55" spans="1:12" x14ac:dyDescent="0.25">
      <c r="A55" s="17" t="s">
        <v>119</v>
      </c>
      <c r="B55" s="61"/>
      <c r="C55" s="62">
        <f t="shared" ref="C55:L55" si="11">B60</f>
        <v>3360</v>
      </c>
      <c r="D55" s="62">
        <f t="shared" si="11"/>
        <v>3995.7667830930277</v>
      </c>
      <c r="E55" s="62">
        <f t="shared" si="11"/>
        <v>4622.8575569628383</v>
      </c>
      <c r="F55" s="62">
        <f t="shared" si="11"/>
        <v>5240.882178528871</v>
      </c>
      <c r="G55" s="62">
        <f t="shared" si="11"/>
        <v>5849.4433175089425</v>
      </c>
      <c r="H55" s="62">
        <f t="shared" si="11"/>
        <v>6448.1361622706218</v>
      </c>
      <c r="I55" s="62">
        <f t="shared" si="11"/>
        <v>7036.5481212387667</v>
      </c>
      <c r="J55" s="62">
        <f t="shared" si="11"/>
        <v>7614.2585197130356</v>
      </c>
      <c r="K55" s="62">
        <f t="shared" si="11"/>
        <v>8180.838291950342</v>
      </c>
      <c r="L55" s="62">
        <f t="shared" si="11"/>
        <v>8735.8496683685735</v>
      </c>
    </row>
    <row r="56" spans="1:12" x14ac:dyDescent="0.25">
      <c r="A56" s="19" t="s">
        <v>120</v>
      </c>
      <c r="B56" s="63"/>
      <c r="C56" s="64">
        <f>C55*'Cost of Capital'!$C$10</f>
        <v>231.25199999999998</v>
      </c>
      <c r="D56" s="64">
        <f>D55*'Cost of Capital'!$C$10</f>
        <v>275.00864884637764</v>
      </c>
      <c r="E56" s="64">
        <f>E55*'Cost of Capital'!$C$10</f>
        <v>318.16817135796731</v>
      </c>
      <c r="F56" s="64">
        <f>F55*'Cost of Capital'!$C$10</f>
        <v>360.70371593724951</v>
      </c>
      <c r="G56" s="64">
        <f>G55*'Cost of Capital'!$C$10</f>
        <v>402.58793632755294</v>
      </c>
      <c r="H56" s="64">
        <f>H55*'Cost of Capital'!$C$10</f>
        <v>443.79297136827552</v>
      </c>
      <c r="I56" s="64">
        <f>I55*'Cost of Capital'!$C$10</f>
        <v>484.29042444425812</v>
      </c>
      <c r="J56" s="64">
        <f>J55*'Cost of Capital'!$C$10</f>
        <v>524.05134261924968</v>
      </c>
      <c r="K56" s="64">
        <f>K55*'Cost of Capital'!$C$10</f>
        <v>563.04619544348225</v>
      </c>
      <c r="L56" s="64">
        <f>L55*'Cost of Capital'!$C$10</f>
        <v>601.244853425467</v>
      </c>
    </row>
    <row r="57" spans="1:12" x14ac:dyDescent="0.25">
      <c r="A57" s="17" t="s">
        <v>121</v>
      </c>
      <c r="B57" s="61"/>
      <c r="C57" s="62">
        <f>Input!$B$36*(1+Input!$B$37)^(C54)+IF(B60&gt;B65,0,(B65-B60)*Input!$B$38)</f>
        <v>508.51478309302729</v>
      </c>
      <c r="D57" s="62">
        <f>Input!$B$36*(1+Input!$B$37)^(D54)+IF(C60&gt;C65,0,(C65-C60)*Input!$B$38)</f>
        <v>499.9046250234328</v>
      </c>
      <c r="E57" s="62">
        <f>Input!$B$36*(1+Input!$B$37)^(E54)+IF(D60&gt;D65,0,(D65-D60)*Input!$B$38)</f>
        <v>491.40714145806521</v>
      </c>
      <c r="F57" s="62">
        <f>Input!$B$36*(1+Input!$B$37)^(F54)+IF(E60&gt;E65,0,(E65-E60)*Input!$B$38)</f>
        <v>483.03927681844777</v>
      </c>
      <c r="G57" s="62">
        <f>Input!$B$36*(1+Input!$B$37)^(G54)+IF(F60&gt;F65,0,(F65-F60)*Input!$B$38)</f>
        <v>474.81809973786926</v>
      </c>
      <c r="H57" s="62">
        <f>Input!$B$36*(1+Input!$B$37)^(H54)+IF(G60&gt;G65,0,(G65-G60)*Input!$B$38)</f>
        <v>466.76081683044396</v>
      </c>
      <c r="I57" s="62">
        <f>Input!$B$36*(1+Input!$B$37)^(I54)+IF(H60&gt;H65,0,(H65-H60)*Input!$B$38)</f>
        <v>458.88478657132595</v>
      </c>
      <c r="J57" s="62">
        <f>Input!$B$36*(1+Input!$B$37)^(J54)+IF(I60&gt;I65,0,(I65-I60)*Input!$B$38)</f>
        <v>451.20753329847622</v>
      </c>
      <c r="K57" s="62">
        <f>Input!$B$36*(1+Input!$B$37)^(K54)+IF(J60&gt;J65,0,(J65-J60)*Input!$B$38)</f>
        <v>443.74676134644403</v>
      </c>
      <c r="L57" s="62">
        <f>Input!$B$36*(1+Input!$B$37)^(L54)+IF(K60&gt;K65,0,(K65-K60)*Input!$B$38)</f>
        <v>436.52036932268538</v>
      </c>
    </row>
    <row r="58" spans="1:12" x14ac:dyDescent="0.25">
      <c r="A58" s="19" t="s">
        <v>122</v>
      </c>
      <c r="B58" s="63"/>
      <c r="C58" s="64">
        <f>$L$58/10*Table1518[[#Headers],[1]]</f>
        <v>39</v>
      </c>
      <c r="D58" s="64">
        <f>$L$58/10*Table1518[[#Headers],[2]]</f>
        <v>78</v>
      </c>
      <c r="E58" s="64">
        <f>$L$58/10*Table1518[[#Headers],[3]]</f>
        <v>117</v>
      </c>
      <c r="F58" s="64">
        <f>$L$58/10*Table1518[[#Headers],[4]]</f>
        <v>156</v>
      </c>
      <c r="G58" s="64">
        <f>$L$58/10*Table1518[[#Headers],[5]]</f>
        <v>195</v>
      </c>
      <c r="H58" s="64">
        <f>$L$58/10*Table1518[[#Headers],[6]]</f>
        <v>234</v>
      </c>
      <c r="I58" s="64">
        <f>$L$58/10*Table1518[[#Headers],[7]]</f>
        <v>273</v>
      </c>
      <c r="J58" s="64">
        <f>$L$58/10*Table1518[[#Headers],[8]]</f>
        <v>312</v>
      </c>
      <c r="K58" s="64">
        <f>$L$58/10*Table1518[[#Headers],[9]]</f>
        <v>351</v>
      </c>
      <c r="L58" s="64">
        <f>B9</f>
        <v>390</v>
      </c>
    </row>
    <row r="59" spans="1:12" x14ac:dyDescent="0.25">
      <c r="A59" s="17" t="s">
        <v>123</v>
      </c>
      <c r="B59" s="61"/>
      <c r="C59" s="62">
        <f>B65*Input!$B$41</f>
        <v>65</v>
      </c>
      <c r="D59" s="62">
        <f>C65*Input!$B$41</f>
        <v>69.822500000000005</v>
      </c>
      <c r="E59" s="62">
        <f>D65*Input!$B$41</f>
        <v>74.55069125</v>
      </c>
      <c r="F59" s="62">
        <f>E65*Input!$B$41</f>
        <v>79.181853775625001</v>
      </c>
      <c r="G59" s="62">
        <f>F65*Input!$B$41</f>
        <v>83.713191303742803</v>
      </c>
      <c r="H59" s="62">
        <f>G65*Input!$B$41</f>
        <v>88.141829230574331</v>
      </c>
      <c r="I59" s="62">
        <f>H65*Input!$B$41</f>
        <v>92.464812541315183</v>
      </c>
      <c r="J59" s="62">
        <f>I65*Input!$B$41</f>
        <v>96.67910368041872</v>
      </c>
      <c r="K59" s="62">
        <f>J65*Input!$B$41</f>
        <v>100.78158037169426</v>
      </c>
      <c r="L59" s="62">
        <f>K65*Input!$B$41</f>
        <v>104.76903338737992</v>
      </c>
    </row>
    <row r="60" spans="1:12" ht="15.75" customHeight="1" thickBot="1" x14ac:dyDescent="0.3">
      <c r="A60" s="86" t="s">
        <v>124</v>
      </c>
      <c r="B60" s="87">
        <f>B7</f>
        <v>3360</v>
      </c>
      <c r="C60" s="88">
        <f t="shared" ref="C60:L60" si="12">C55+C57+C56-C58-C59</f>
        <v>3995.7667830930277</v>
      </c>
      <c r="D60" s="88">
        <f t="shared" si="12"/>
        <v>4622.8575569628383</v>
      </c>
      <c r="E60" s="88">
        <f t="shared" si="12"/>
        <v>5240.882178528871</v>
      </c>
      <c r="F60" s="88">
        <f t="shared" si="12"/>
        <v>5849.4433175089425</v>
      </c>
      <c r="G60" s="88">
        <f t="shared" si="12"/>
        <v>6448.1361622706218</v>
      </c>
      <c r="H60" s="88">
        <f t="shared" si="12"/>
        <v>7036.5481212387667</v>
      </c>
      <c r="I60" s="88">
        <f t="shared" si="12"/>
        <v>7614.2585197130356</v>
      </c>
      <c r="J60" s="88">
        <f t="shared" si="12"/>
        <v>8180.838291950342</v>
      </c>
      <c r="K60" s="88">
        <f t="shared" si="12"/>
        <v>8735.8496683685735</v>
      </c>
      <c r="L60" s="88">
        <f t="shared" si="12"/>
        <v>9278.8458577293459</v>
      </c>
    </row>
    <row r="61" spans="1:12" x14ac:dyDescent="0.25">
      <c r="A61" s="83" t="s">
        <v>125</v>
      </c>
      <c r="B61" s="84"/>
      <c r="C61" s="85">
        <f t="shared" ref="C61:L61" si="13">B65</f>
        <v>6500</v>
      </c>
      <c r="D61" s="85">
        <f t="shared" si="13"/>
        <v>6982.25</v>
      </c>
      <c r="E61" s="85">
        <f t="shared" si="13"/>
        <v>7455.069125</v>
      </c>
      <c r="F61" s="85">
        <f t="shared" si="13"/>
        <v>7918.1853775624995</v>
      </c>
      <c r="G61" s="85">
        <f t="shared" si="13"/>
        <v>8371.3191303742806</v>
      </c>
      <c r="H61" s="85">
        <f t="shared" si="13"/>
        <v>8814.1829230574331</v>
      </c>
      <c r="I61" s="85">
        <f t="shared" si="13"/>
        <v>9246.4812541315187</v>
      </c>
      <c r="J61" s="85">
        <f t="shared" si="13"/>
        <v>9667.9103680418721</v>
      </c>
      <c r="K61" s="85">
        <f t="shared" si="13"/>
        <v>10078.158037169425</v>
      </c>
      <c r="L61" s="85">
        <f t="shared" si="13"/>
        <v>10476.903338737991</v>
      </c>
    </row>
    <row r="62" spans="1:12" x14ac:dyDescent="0.25">
      <c r="A62" s="19" t="s">
        <v>126</v>
      </c>
      <c r="B62" s="63"/>
      <c r="C62" s="64">
        <f>C61*'Cost of Capital'!$C$9</f>
        <v>315.25</v>
      </c>
      <c r="D62" s="64">
        <f>D61*'Cost of Capital'!$C$9</f>
        <v>338.63912500000004</v>
      </c>
      <c r="E62" s="64">
        <f>E61*'Cost of Capital'!$C$9</f>
        <v>361.57085256250002</v>
      </c>
      <c r="F62" s="64">
        <f>F61*'Cost of Capital'!$C$9</f>
        <v>384.03199081178121</v>
      </c>
      <c r="G62" s="64">
        <f>G61*'Cost of Capital'!$C$9</f>
        <v>406.00897782315263</v>
      </c>
      <c r="H62" s="64">
        <f>H61*'Cost of Capital'!$C$9</f>
        <v>427.48787176828552</v>
      </c>
      <c r="I62" s="64">
        <f>I61*'Cost of Capital'!$C$9</f>
        <v>448.45434082537867</v>
      </c>
      <c r="J62" s="64">
        <f>J61*'Cost of Capital'!$C$9</f>
        <v>468.89365285003083</v>
      </c>
      <c r="K62" s="64">
        <f>K61*'Cost of Capital'!$C$9</f>
        <v>488.79066480271712</v>
      </c>
      <c r="L62" s="64">
        <f>L61*'Cost of Capital'!$C$9</f>
        <v>508.12981192879261</v>
      </c>
    </row>
    <row r="63" spans="1:12" x14ac:dyDescent="0.25">
      <c r="A63" s="17" t="s">
        <v>127</v>
      </c>
      <c r="B63" s="61"/>
      <c r="C63" s="62">
        <f>Input!$B$34*(1+Input!$B$37)^'Pension Derisking'!C54</f>
        <v>206</v>
      </c>
      <c r="D63" s="62">
        <f>Input!$B$34*(1+Input!$B$37)^'Pension Derisking'!D54</f>
        <v>212.17999999999998</v>
      </c>
      <c r="E63" s="62">
        <f>Input!$B$34*(1+Input!$B$37)^'Pension Derisking'!E54</f>
        <v>218.5454</v>
      </c>
      <c r="F63" s="62">
        <f>Input!$B$34*(1+Input!$B$37)^'Pension Derisking'!F54</f>
        <v>225.10176199999998</v>
      </c>
      <c r="G63" s="62">
        <f>Input!$B$34*(1+Input!$B$37)^'Pension Derisking'!G54</f>
        <v>231.85481485999998</v>
      </c>
      <c r="H63" s="62">
        <f>Input!$B$34*(1+Input!$B$37)^'Pension Derisking'!H54</f>
        <v>238.81045930579998</v>
      </c>
      <c r="I63" s="62">
        <f>Input!$B$34*(1+Input!$B$37)^'Pension Derisking'!I54</f>
        <v>245.974773084974</v>
      </c>
      <c r="J63" s="62">
        <f>Input!$B$34*(1+Input!$B$37)^'Pension Derisking'!J54</f>
        <v>253.35401627752319</v>
      </c>
      <c r="K63" s="62">
        <f>Input!$B$34*(1+Input!$B$37)^'Pension Derisking'!K54</f>
        <v>260.95463676584887</v>
      </c>
      <c r="L63" s="62">
        <f>Input!$B$34*(1+Input!$B$37)^'Pension Derisking'!L54</f>
        <v>268.78327586882438</v>
      </c>
    </row>
    <row r="64" spans="1:12" x14ac:dyDescent="0.25">
      <c r="A64" s="19" t="s">
        <v>122</v>
      </c>
      <c r="B64" s="63"/>
      <c r="C64" s="64">
        <f t="shared" ref="C64:L64" si="14">C58</f>
        <v>39</v>
      </c>
      <c r="D64" s="64">
        <f t="shared" si="14"/>
        <v>78</v>
      </c>
      <c r="E64" s="64">
        <f t="shared" si="14"/>
        <v>117</v>
      </c>
      <c r="F64" s="64">
        <f t="shared" si="14"/>
        <v>156</v>
      </c>
      <c r="G64" s="64">
        <f t="shared" si="14"/>
        <v>195</v>
      </c>
      <c r="H64" s="64">
        <f t="shared" si="14"/>
        <v>234</v>
      </c>
      <c r="I64" s="64">
        <f t="shared" si="14"/>
        <v>273</v>
      </c>
      <c r="J64" s="64">
        <f t="shared" si="14"/>
        <v>312</v>
      </c>
      <c r="K64" s="64">
        <f t="shared" si="14"/>
        <v>351</v>
      </c>
      <c r="L64" s="64">
        <f t="shared" si="14"/>
        <v>390</v>
      </c>
    </row>
    <row r="65" spans="1:12" ht="15.75" customHeight="1" thickBot="1" x14ac:dyDescent="0.3">
      <c r="A65" s="89" t="s">
        <v>128</v>
      </c>
      <c r="B65" s="90">
        <f>B8</f>
        <v>6500</v>
      </c>
      <c r="C65" s="91">
        <f t="shared" ref="C65:L65" si="15">C61+C62+C63-C64</f>
        <v>6982.25</v>
      </c>
      <c r="D65" s="91">
        <f t="shared" si="15"/>
        <v>7455.069125</v>
      </c>
      <c r="E65" s="91">
        <f t="shared" si="15"/>
        <v>7918.1853775624995</v>
      </c>
      <c r="F65" s="91">
        <f t="shared" si="15"/>
        <v>8371.3191303742806</v>
      </c>
      <c r="G65" s="91">
        <f t="shared" si="15"/>
        <v>8814.1829230574331</v>
      </c>
      <c r="H65" s="91">
        <f t="shared" si="15"/>
        <v>9246.4812541315187</v>
      </c>
      <c r="I65" s="91">
        <f t="shared" si="15"/>
        <v>9667.9103680418721</v>
      </c>
      <c r="J65" s="91">
        <f t="shared" si="15"/>
        <v>10078.158037169425</v>
      </c>
      <c r="K65" s="91">
        <f t="shared" si="15"/>
        <v>10476.903338737991</v>
      </c>
      <c r="L65" s="91">
        <f t="shared" si="15"/>
        <v>10863.816426535608</v>
      </c>
    </row>
    <row r="66" spans="1:12" x14ac:dyDescent="0.25">
      <c r="A66" s="92" t="s">
        <v>129</v>
      </c>
      <c r="B66" s="93">
        <f t="shared" ref="B66:L66" si="16">B60-B65</f>
        <v>-3140</v>
      </c>
      <c r="C66" s="93">
        <f t="shared" si="16"/>
        <v>-2986.4832169069723</v>
      </c>
      <c r="D66" s="93">
        <f t="shared" si="16"/>
        <v>-2832.2115680371617</v>
      </c>
      <c r="E66" s="93">
        <f t="shared" si="16"/>
        <v>-2677.3031990336285</v>
      </c>
      <c r="F66" s="93">
        <f t="shared" si="16"/>
        <v>-2521.875812865338</v>
      </c>
      <c r="G66" s="93">
        <f t="shared" si="16"/>
        <v>-2366.0467607868113</v>
      </c>
      <c r="H66" s="93">
        <f t="shared" si="16"/>
        <v>-2209.9331328927519</v>
      </c>
      <c r="I66" s="93">
        <f t="shared" si="16"/>
        <v>-2053.6518483288364</v>
      </c>
      <c r="J66" s="93">
        <f t="shared" si="16"/>
        <v>-1897.3197452190834</v>
      </c>
      <c r="K66" s="93">
        <f t="shared" si="16"/>
        <v>-1741.0536703694179</v>
      </c>
      <c r="L66" s="93">
        <f t="shared" si="16"/>
        <v>-1584.9705688062622</v>
      </c>
    </row>
  </sheetData>
  <pageMargins left="0.7" right="0.7" top="0.75" bottom="0.75" header="0.3" footer="0.3"/>
  <legacyDrawing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6"/>
  <sheetViews>
    <sheetView workbookViewId="0"/>
  </sheetViews>
  <sheetFormatPr defaultRowHeight="15" x14ac:dyDescent="0.25"/>
  <cols>
    <col min="1" max="1" width="41.25" customWidth="1"/>
    <col min="2" max="2" width="11.625" customWidth="1"/>
    <col min="3" max="3" width="19.625" customWidth="1"/>
    <col min="4" max="4" width="9.5" customWidth="1"/>
  </cols>
  <sheetData>
    <row r="1" spans="1:4" ht="21" customHeight="1" x14ac:dyDescent="0.35">
      <c r="A1" s="46" t="s">
        <v>142</v>
      </c>
    </row>
    <row r="3" spans="1:4" x14ac:dyDescent="0.25">
      <c r="A3" t="s">
        <v>41</v>
      </c>
      <c r="B3" s="2">
        <f>Input!B25</f>
        <v>0.04</v>
      </c>
    </row>
    <row r="4" spans="1:4" x14ac:dyDescent="0.25">
      <c r="A4" t="s">
        <v>42</v>
      </c>
      <c r="B4" s="2">
        <f>Input!B26</f>
        <v>0.05</v>
      </c>
    </row>
    <row r="6" spans="1:4" ht="18.75" customHeight="1" x14ac:dyDescent="0.25">
      <c r="A6" s="21" t="s">
        <v>143</v>
      </c>
      <c r="B6" s="21" t="s">
        <v>144</v>
      </c>
      <c r="C6" s="21" t="s">
        <v>145</v>
      </c>
    </row>
    <row r="7" spans="1:4" x14ac:dyDescent="0.25">
      <c r="A7" s="17" t="s">
        <v>146</v>
      </c>
      <c r="B7" s="28">
        <f>Input!B27</f>
        <v>1</v>
      </c>
      <c r="C7" s="27">
        <f>$B$3+$B$4*B7</f>
        <v>0.09</v>
      </c>
    </row>
    <row r="8" spans="1:4" x14ac:dyDescent="0.25">
      <c r="A8" s="19" t="s">
        <v>147</v>
      </c>
      <c r="B8" s="29">
        <f>Input!B29</f>
        <v>0.17</v>
      </c>
      <c r="C8" s="38">
        <f>$B$3+$B$4*B8</f>
        <v>4.8500000000000001E-2</v>
      </c>
    </row>
    <row r="9" spans="1:4" x14ac:dyDescent="0.25">
      <c r="A9" s="17" t="s">
        <v>148</v>
      </c>
      <c r="B9" s="28">
        <f>B8</f>
        <v>0.17</v>
      </c>
      <c r="C9" s="27">
        <f>$B$3+$B$4*B9</f>
        <v>4.8500000000000001E-2</v>
      </c>
    </row>
    <row r="10" spans="1:4" x14ac:dyDescent="0.25">
      <c r="A10" s="19" t="s">
        <v>149</v>
      </c>
      <c r="B10" s="20">
        <f>SUMPRODUCT(Input!B42:B43,'Cost of Capital'!B7:B8)</f>
        <v>0.57650000000000001</v>
      </c>
      <c r="C10" s="38">
        <f>$B$3+$B$4*B10</f>
        <v>6.8824999999999997E-2</v>
      </c>
      <c r="D10" s="5"/>
    </row>
    <row r="11" spans="1:4" x14ac:dyDescent="0.25">
      <c r="A11" s="17" t="s">
        <v>44</v>
      </c>
      <c r="B11" s="28">
        <f>Input!B28</f>
        <v>1.1000000000000001</v>
      </c>
      <c r="C11" s="18" t="s">
        <v>150</v>
      </c>
    </row>
    <row r="12" spans="1:4" x14ac:dyDescent="0.25">
      <c r="B12" s="4"/>
      <c r="C12" s="4"/>
    </row>
    <row r="13" spans="1:4" ht="18.75" customHeight="1" x14ac:dyDescent="0.25">
      <c r="A13" s="21" t="s">
        <v>151</v>
      </c>
      <c r="B13" s="21" t="s">
        <v>152</v>
      </c>
      <c r="C13" s="21" t="s">
        <v>153</v>
      </c>
    </row>
    <row r="14" spans="1:4" x14ac:dyDescent="0.25">
      <c r="A14" s="17" t="s">
        <v>154</v>
      </c>
      <c r="B14" s="42">
        <f>Input!B11*Input!B10</f>
        <v>19900</v>
      </c>
      <c r="C14" s="37">
        <f>B14+'Pension Derisking'!B13</f>
        <v>19900</v>
      </c>
    </row>
    <row r="15" spans="1:4" x14ac:dyDescent="0.25">
      <c r="A15" s="19" t="s">
        <v>155</v>
      </c>
      <c r="B15" s="34">
        <f>Input!B6*(1-(1+'Cost of Capital'!C8)^(-Input!B14))/'Cost of Capital'!C8+Input!B8/(1+'Cost of Capital'!C8)^Input!B14</f>
        <v>10513.159214136676</v>
      </c>
      <c r="C15" s="35">
        <f>B15+'Pension Derisking'!B15</f>
        <v>10513.159214136676</v>
      </c>
    </row>
    <row r="16" spans="1:4" x14ac:dyDescent="0.25">
      <c r="A16" s="17" t="s">
        <v>149</v>
      </c>
      <c r="B16" s="42">
        <f>Input!B32</f>
        <v>7000</v>
      </c>
      <c r="C16" s="37">
        <f>'Pension Derisking'!B7</f>
        <v>3360</v>
      </c>
    </row>
    <row r="17" spans="1:3" x14ac:dyDescent="0.25">
      <c r="A17" s="19" t="s">
        <v>156</v>
      </c>
      <c r="B17" s="34">
        <f>Input!B33</f>
        <v>10000</v>
      </c>
      <c r="C17" s="35">
        <f>'Pension Derisking'!B8</f>
        <v>6500</v>
      </c>
    </row>
    <row r="20" spans="1:3" ht="18.75" customHeight="1" x14ac:dyDescent="0.25">
      <c r="A20" s="21" t="s">
        <v>157</v>
      </c>
      <c r="B20" s="21" t="s">
        <v>21</v>
      </c>
      <c r="C20" s="21" t="s">
        <v>158</v>
      </c>
    </row>
    <row r="21" spans="1:3" x14ac:dyDescent="0.25">
      <c r="A21" s="17" t="s">
        <v>159</v>
      </c>
      <c r="B21" s="39">
        <f>B11+B15/B14*(B11-B8)</f>
        <v>1.5913184959370408</v>
      </c>
      <c r="C21" s="18" t="s">
        <v>160</v>
      </c>
    </row>
    <row r="22" spans="1:3" x14ac:dyDescent="0.25">
      <c r="A22" s="19" t="s">
        <v>161</v>
      </c>
      <c r="B22" s="38">
        <f>$B$3+$B$4*B21</f>
        <v>0.11956592479685205</v>
      </c>
      <c r="C22" s="43">
        <f>B14/(B14+B15)</f>
        <v>0.65432202751071189</v>
      </c>
    </row>
    <row r="23" spans="1:3" x14ac:dyDescent="0.25">
      <c r="A23" s="17" t="s">
        <v>162</v>
      </c>
      <c r="B23" s="27">
        <f>C8</f>
        <v>4.8500000000000001E-2</v>
      </c>
      <c r="C23" s="36">
        <f>B15/(B14+B15)</f>
        <v>0.34567797248928805</v>
      </c>
    </row>
    <row r="24" spans="1:3" x14ac:dyDescent="0.25">
      <c r="A24" s="81" t="s">
        <v>163</v>
      </c>
      <c r="B24" s="94">
        <f>B22*C22+B23*C23*(1-Input!B13)</f>
        <v>9.0808654583567391E-2</v>
      </c>
      <c r="C24" s="20"/>
    </row>
    <row r="26" spans="1:3" ht="18.75" customHeight="1" x14ac:dyDescent="0.25">
      <c r="A26" s="21" t="s">
        <v>164</v>
      </c>
      <c r="B26" s="21" t="s">
        <v>21</v>
      </c>
    </row>
    <row r="27" spans="1:3" x14ac:dyDescent="0.25">
      <c r="A27" s="17" t="s">
        <v>165</v>
      </c>
      <c r="B27" s="73">
        <f>B14+B15+(B17-B16)*(1-Input!B13)</f>
        <v>32663.159214136678</v>
      </c>
    </row>
    <row r="28" spans="1:3" x14ac:dyDescent="0.25">
      <c r="A28" s="19" t="s">
        <v>159</v>
      </c>
      <c r="B28" s="78">
        <f>(B27*B11-B15*B8-(B17*B9-B16*B10)*(1-Input!B13))/B14</f>
        <v>1.8037117120174428</v>
      </c>
    </row>
    <row r="29" spans="1:3" x14ac:dyDescent="0.25">
      <c r="A29" s="17" t="s">
        <v>161</v>
      </c>
      <c r="B29" s="70">
        <f>$B$3+$B$4*B28</f>
        <v>0.13018558560087215</v>
      </c>
    </row>
    <row r="30" spans="1:3" x14ac:dyDescent="0.25">
      <c r="A30" s="81" t="s">
        <v>163</v>
      </c>
      <c r="B30" s="95">
        <f>(B15*C8*(1-Input!B13)+B14*B29+(1-Input!B13)*(B17*C9-B16*C10))/B27</f>
        <v>9.1097375191551075E-2</v>
      </c>
    </row>
    <row r="32" spans="1:3" ht="18.75" customHeight="1" x14ac:dyDescent="0.25">
      <c r="A32" s="21" t="s">
        <v>166</v>
      </c>
      <c r="B32" s="21" t="s">
        <v>21</v>
      </c>
    </row>
    <row r="33" spans="1:2" x14ac:dyDescent="0.25">
      <c r="A33" s="17" t="s">
        <v>165</v>
      </c>
      <c r="B33" s="73">
        <f>C14+C15+(C17-C16)*(1-Input!B13)</f>
        <v>32768.159214136678</v>
      </c>
    </row>
    <row r="34" spans="1:2" x14ac:dyDescent="0.25">
      <c r="A34" s="19" t="s">
        <v>159</v>
      </c>
      <c r="B34" s="78">
        <f>(B33*B11-C15*B8-(C17*B9-C16*B10)*(1-Input!B13))/C14</f>
        <v>1.752852666791312</v>
      </c>
    </row>
    <row r="35" spans="1:2" x14ac:dyDescent="0.25">
      <c r="A35" s="17" t="s">
        <v>161</v>
      </c>
      <c r="B35" s="70">
        <f>$B$3+$B$4*B34</f>
        <v>0.1276426333395656</v>
      </c>
    </row>
    <row r="36" spans="1:2" x14ac:dyDescent="0.25">
      <c r="A36" s="81" t="s">
        <v>163</v>
      </c>
      <c r="B36" s="95">
        <f>(C15*C8*(1-Input!B13)+C14*B35+(1-Input!B13)*(C17*C9-C16*C10))/B33</f>
        <v>9.1109880489825809E-2</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 and Disclaimer</vt:lpstr>
      <vt:lpstr>Input</vt:lpstr>
      <vt:lpstr>Valuation without Pension</vt:lpstr>
      <vt:lpstr>Valuation with Pension</vt:lpstr>
      <vt:lpstr>Pension Derisking</vt:lpstr>
      <vt:lpstr>Cost of Capital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Tianxiang Shi</dc:creator>
  <cp:lastModifiedBy>Barbara Scott</cp:lastModifiedBy>
  <dcterms:created xsi:type="dcterms:W3CDTF">2015-06-05T18:17:20Z</dcterms:created>
  <dcterms:modified xsi:type="dcterms:W3CDTF">2026-03-23T15:32:05Z</dcterms:modified>
</cp:coreProperties>
</file>